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mple" sheetId="1" r:id="rId4"/>
    <sheet state="visible" name="Formules" sheetId="2" r:id="rId5"/>
    <sheet state="visible" name="Calculateur CI" sheetId="3" r:id="rId6"/>
  </sheets>
  <definedNames>
    <definedName name="Plafond_PES">Formules!$B$11</definedName>
  </definedNames>
  <calcPr/>
  <extLst>
    <ext uri="GoogleSheetsCustomDataVersion1">
      <go:sheetsCustomData xmlns:go="http://customooxmlschemas.google.com/" r:id="rId7" roundtripDataSignature="AMtx7mhhSerUl/oP6g9PbWZhZPQhfLxt3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5">
      <text>
        <t xml:space="preserve">======
ID#AAAAIQ2aMzc
Eric    (2021-04-13 14:07:18)
Si vous entrez la libération à partir de Clara ou Omnivox, il faut diviser la libération en ETC par 2 car Omnivox et Clara ont un total de 1 pour une semaine au lieu de 0,5 pour arriver à 1 ETC annuel.</t>
      </text>
    </comment>
    <comment authorId="0" ref="D39">
      <text>
        <t xml:space="preserve">======
ID#AAAAIQ2aMzU
Eric    (2021-04-13 14:07:18)
Cochez seulement si c'est une nouvelle préparation ou si c'est un laboratoire.  
Si il y a répétition du laboratoire, cochez seulement pour le premier laboratoire.</t>
      </text>
    </comment>
    <comment authorId="0" ref="D12">
      <text>
        <t xml:space="preserve">======
ID#AAAAIQ2aMzQ
Eric    (2021-04-13 14:07:18)
Cochez seulement si c'est une nouvelle préparation ou si c'est un laboratoire.  
Si il y a répétition du laboratoire, cochez seulement pour le premier laboratoire.</t>
      </text>
    </comment>
  </commentList>
  <extLst>
    <ext uri="GoogleSheetsCustomDataVersion1">
      <go:sheetsCustomData xmlns:go="http://customooxmlschemas.google.com/" r:id="rId1" roundtripDataSignature="AMtx7mjp5RbIKfO200aFS/3McBiC5+TE8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60">
      <text>
        <t xml:space="preserve">======
ID#AAAAIQ2aMzg
Eric    (2021-04-13 14:07:18)
Cochez seulement si c'est une nouvelle préparation ou si c'est un laboratoire.  
Si il y a répétition du laboratoire, cochez seulement pour le premier laboratoire.</t>
      </text>
    </comment>
    <comment authorId="0" ref="D12">
      <text>
        <t xml:space="preserve">======
ID#AAAAIQ2aMzY
Eric    (2021-04-13 14:07:18)
Cochez seulement si c'est une nouvelle préparation ou si c'est un laboratoire.  
Si il y a répétition du laboratoire, cochez seulement pour le premier laboratoire.</t>
      </text>
    </comment>
  </commentList>
  <extLst>
    <ext uri="GoogleSheetsCustomDataVersion1">
      <go:sheetsCustomData xmlns:go="http://customooxmlschemas.google.com/" r:id="rId1" roundtripDataSignature="AMtx7miZ9QyWGQyUKSnZG1t0peq/niF5rA=="/>
    </ext>
  </extLst>
</comments>
</file>

<file path=xl/sharedStrings.xml><?xml version="1.0" encoding="utf-8"?>
<sst xmlns="http://schemas.openxmlformats.org/spreadsheetml/2006/main" count="166" uniqueCount="67">
  <si>
    <t>Calculateur de CI - Convention 2015-2020</t>
  </si>
  <si>
    <t>Sommaire</t>
  </si>
  <si>
    <t>CI</t>
  </si>
  <si>
    <t>ETC</t>
  </si>
  <si>
    <t>Enseignant(e) :</t>
  </si>
  <si>
    <t>Super prof</t>
  </si>
  <si>
    <t>Automne</t>
  </si>
  <si>
    <t>Hiver</t>
  </si>
  <si>
    <t>Par : Éric Denis, comité consultatif sur la tâche</t>
  </si>
  <si>
    <t>Total :</t>
  </si>
  <si>
    <t>Pondération</t>
  </si>
  <si>
    <t>Préparation</t>
  </si>
  <si>
    <t>Type de cours</t>
  </si>
  <si>
    <t>Application HP ?</t>
  </si>
  <si>
    <t>No du cours</t>
  </si>
  <si>
    <t>Nom du cours</t>
  </si>
  <si>
    <t>Heures</t>
  </si>
  <si>
    <t>Labo</t>
  </si>
  <si>
    <t>Nbre d'étudiants</t>
  </si>
  <si>
    <t>HP</t>
  </si>
  <si>
    <t>HC</t>
  </si>
  <si>
    <t>PES</t>
  </si>
  <si>
    <t>Heures X 1,2</t>
  </si>
  <si>
    <t>Hr X Ét X 0,04</t>
  </si>
  <si>
    <t>420-100-SF</t>
  </si>
  <si>
    <t>Cours 1 groupe 101</t>
  </si>
  <si>
    <t xml:space="preserve">Note : Si vous rencontrez une erreur ou un mauvais fonctionnement, S.V.P. nous en aviser par courriel --&gt; </t>
  </si>
  <si>
    <t>Cours 1 groupe 102</t>
  </si>
  <si>
    <t>Cours 1 groupe 103</t>
  </si>
  <si>
    <t>denis.eric@cgmatane.qc.ca</t>
  </si>
  <si>
    <t>420-500-SF</t>
  </si>
  <si>
    <t>Cours 2 groupe 101</t>
  </si>
  <si>
    <t># de préparation :</t>
  </si>
  <si>
    <t>Facteur HP :</t>
  </si>
  <si>
    <t>Dégagements</t>
  </si>
  <si>
    <t>Libération (ETC)</t>
  </si>
  <si>
    <t>Libération ( % )</t>
  </si>
  <si>
    <t>Projet</t>
  </si>
  <si>
    <t>NES &gt; 160</t>
  </si>
  <si>
    <r>
      <rPr>
        <rFont val="Calibri"/>
        <color theme="1"/>
        <sz val="11.0"/>
      </rPr>
      <t xml:space="preserve">NES </t>
    </r>
    <r>
      <rPr>
        <rFont val="Calibri"/>
        <color theme="1"/>
        <sz val="11.0"/>
      </rPr>
      <t>≥</t>
    </r>
    <r>
      <rPr>
        <rFont val="Calibri"/>
        <color theme="1"/>
        <sz val="14.0"/>
      </rPr>
      <t xml:space="preserve"> </t>
    </r>
    <r>
      <rPr>
        <rFont val="Calibri"/>
        <color theme="1"/>
        <sz val="11.0"/>
      </rPr>
      <t>75</t>
    </r>
  </si>
  <si>
    <t>Valeur Libération en CI</t>
  </si>
  <si>
    <t>Total CI Automne :</t>
  </si>
  <si>
    <t>Total ETC Automne :</t>
  </si>
  <si>
    <t>Théorie</t>
  </si>
  <si>
    <t>340-AAA-AA</t>
  </si>
  <si>
    <r>
      <rPr>
        <rFont val="Calibri"/>
        <color theme="1"/>
        <sz val="11.0"/>
      </rPr>
      <t xml:space="preserve">NES </t>
    </r>
    <r>
      <rPr>
        <rFont val="Calibri"/>
        <color theme="1"/>
        <sz val="11.0"/>
      </rPr>
      <t>≥</t>
    </r>
    <r>
      <rPr>
        <rFont val="Calibri"/>
        <color theme="1"/>
        <sz val="14.0"/>
      </rPr>
      <t xml:space="preserve"> </t>
    </r>
    <r>
      <rPr>
        <rFont val="Calibri"/>
        <color theme="1"/>
        <sz val="11.0"/>
      </rPr>
      <t>75</t>
    </r>
  </si>
  <si>
    <t>Total CI Hiver :</t>
  </si>
  <si>
    <t>Total ETC Hiver :</t>
  </si>
  <si>
    <t>Version : 15 sept 2019</t>
  </si>
  <si>
    <t>Liste années</t>
  </si>
  <si>
    <t>Plafond PES</t>
  </si>
  <si>
    <t xml:space="preserve">Bonification PES &gt; </t>
  </si>
  <si>
    <t>Laboratoire</t>
  </si>
  <si>
    <t>Théorie/Laboratoire</t>
  </si>
  <si>
    <t>Stage</t>
  </si>
  <si>
    <t>Cochez cette case si vous êtes une enseignante ou un enseigant d'éducation physique</t>
  </si>
  <si>
    <t>Combien avez-vous de préparation de cours ?</t>
  </si>
  <si>
    <t>Nb de préparation :</t>
  </si>
  <si>
    <t>Étudiant NES</t>
  </si>
  <si>
    <t>Total PES</t>
  </si>
  <si>
    <r>
      <rPr>
        <rFont val="Calibri"/>
        <color theme="1"/>
        <sz val="11.0"/>
      </rPr>
      <t xml:space="preserve">NES </t>
    </r>
    <r>
      <rPr>
        <rFont val="Calibri"/>
        <color theme="1"/>
        <sz val="11.0"/>
      </rPr>
      <t>≥</t>
    </r>
    <r>
      <rPr>
        <rFont val="Calibri"/>
        <color theme="1"/>
        <sz val="14.0"/>
      </rPr>
      <t xml:space="preserve"> </t>
    </r>
    <r>
      <rPr>
        <rFont val="Calibri"/>
        <color theme="1"/>
        <sz val="11.0"/>
      </rPr>
      <t>75</t>
    </r>
  </si>
  <si>
    <t>Strage(s) à Nejk</t>
  </si>
  <si>
    <t>Stage Nejk</t>
  </si>
  <si>
    <t>Nejk</t>
  </si>
  <si>
    <t>% Supervision assumée</t>
  </si>
  <si>
    <t>Valeur CI</t>
  </si>
  <si>
    <r>
      <rPr>
        <rFont val="Calibri"/>
        <color theme="1"/>
        <sz val="11.0"/>
      </rPr>
      <t xml:space="preserve">NES </t>
    </r>
    <r>
      <rPr>
        <rFont val="Calibri"/>
        <color theme="1"/>
        <sz val="11.0"/>
      </rPr>
      <t>≥</t>
    </r>
    <r>
      <rPr>
        <rFont val="Calibri"/>
        <color theme="1"/>
        <sz val="14.0"/>
      </rPr>
      <t xml:space="preserve"> </t>
    </r>
    <r>
      <rPr>
        <rFont val="Calibri"/>
        <color theme="1"/>
        <sz val="11.0"/>
      </rPr>
      <t>75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</si>
</sst>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"/>
  </numFmts>
  <fonts count="16">
    <font>
      <sz val="11.0"/>
      <color theme="1"/>
      <name val="Arial"/>
    </font>
    <font>
      <sz val="11.0"/>
      <color theme="1"/>
      <name val="Calibri"/>
    </font>
    <font>
      <b/>
      <sz val="20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/>
    <font>
      <sz val="12.0"/>
      <color theme="1"/>
      <name val="Calibri"/>
    </font>
    <font>
      <sz val="9.0"/>
      <color theme="1"/>
      <name val="Calibri"/>
    </font>
    <font>
      <sz val="7.0"/>
      <color theme="1"/>
      <name val="Calibri"/>
    </font>
    <font>
      <sz val="8.0"/>
      <color theme="1"/>
      <name val="Calibri"/>
    </font>
    <font>
      <b/>
      <sz val="14.0"/>
      <color theme="1"/>
      <name val="Calibri"/>
    </font>
    <font>
      <sz val="11.0"/>
      <color rgb="FFD8D8D8"/>
      <name val="Calibri"/>
    </font>
    <font>
      <sz val="11.0"/>
      <color theme="0"/>
      <name val="Calibri"/>
    </font>
    <font>
      <b/>
      <u/>
      <sz val="12.0"/>
      <color theme="10"/>
    </font>
    <font>
      <b/>
      <sz val="9.0"/>
      <color theme="1"/>
      <name val="Calibri"/>
    </font>
    <font>
      <sz val="11.0"/>
      <color rgb="FFD6DCE4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</fills>
  <borders count="54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right/>
      <top/>
      <bottom/>
    </border>
    <border>
      <top/>
      <bottom/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0" fontId="5" numFmtId="0" xfId="0" applyBorder="1" applyFont="1"/>
    <xf borderId="6" fillId="0" fontId="5" numFmtId="0" xfId="0" applyBorder="1" applyFont="1"/>
    <xf borderId="7" fillId="2" fontId="3" numFmtId="0" xfId="0" applyAlignment="1" applyBorder="1" applyFill="1" applyFont="1">
      <alignment horizontal="center"/>
    </xf>
    <xf borderId="8" fillId="2" fontId="6" numFmtId="2" xfId="0" applyAlignment="1" applyBorder="1" applyFont="1" applyNumberFormat="1">
      <alignment horizontal="center"/>
    </xf>
    <xf borderId="9" fillId="2" fontId="6" numFmtId="2" xfId="0" applyAlignment="1" applyBorder="1" applyFont="1" applyNumberFormat="1">
      <alignment horizontal="center"/>
    </xf>
    <xf borderId="10" fillId="3" fontId="3" numFmtId="0" xfId="0" applyAlignment="1" applyBorder="1" applyFill="1" applyFont="1">
      <alignment horizontal="center"/>
    </xf>
    <xf borderId="11" fillId="3" fontId="6" numFmtId="2" xfId="0" applyAlignment="1" applyBorder="1" applyFont="1" applyNumberFormat="1">
      <alignment horizontal="center"/>
    </xf>
    <xf borderId="12" fillId="3" fontId="6" numFmtId="2" xfId="0" applyAlignment="1" applyBorder="1" applyFont="1" applyNumberFormat="1">
      <alignment horizontal="center"/>
    </xf>
    <xf borderId="0" fillId="0" fontId="7" numFmtId="0" xfId="0" applyFont="1"/>
    <xf borderId="0" fillId="0" fontId="1" numFmtId="0" xfId="0" applyAlignment="1" applyFont="1">
      <alignment horizontal="right"/>
    </xf>
    <xf borderId="13" fillId="4" fontId="4" numFmtId="2" xfId="0" applyAlignment="1" applyBorder="1" applyFill="1" applyFont="1" applyNumberFormat="1">
      <alignment horizontal="center"/>
    </xf>
    <xf borderId="14" fillId="4" fontId="4" numFmtId="2" xfId="0" applyAlignment="1" applyBorder="1" applyFont="1" applyNumberFormat="1">
      <alignment horizontal="center"/>
    </xf>
    <xf borderId="0" fillId="0" fontId="8" numFmtId="0" xfId="0" applyFont="1"/>
    <xf borderId="15" fillId="5" fontId="1" numFmtId="0" xfId="0" applyBorder="1" applyFill="1" applyFont="1"/>
    <xf borderId="15" fillId="5" fontId="9" numFmtId="0" xfId="0" applyBorder="1" applyFont="1"/>
    <xf borderId="15" fillId="5" fontId="1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4" fillId="6" fontId="4" numFmtId="0" xfId="0" applyAlignment="1" applyBorder="1" applyFill="1" applyFont="1">
      <alignment horizontal="center"/>
    </xf>
    <xf borderId="15" fillId="6" fontId="4" numFmtId="0" xfId="0" applyAlignment="1" applyBorder="1" applyFont="1">
      <alignment horizontal="center"/>
    </xf>
    <xf borderId="16" fillId="6" fontId="4" numFmtId="0" xfId="0" applyAlignment="1" applyBorder="1" applyFont="1">
      <alignment horizontal="center"/>
    </xf>
    <xf borderId="17" fillId="0" fontId="1" numFmtId="0" xfId="0" applyBorder="1" applyFont="1"/>
    <xf borderId="18" fillId="0" fontId="1" numFmtId="0" xfId="0" applyBorder="1" applyFont="1"/>
    <xf borderId="18" fillId="0" fontId="1" numFmtId="0" xfId="0" applyAlignment="1" applyBorder="1" applyFont="1">
      <alignment horizontal="center"/>
    </xf>
    <xf borderId="19" fillId="6" fontId="1" numFmtId="0" xfId="0" applyAlignment="1" applyBorder="1" applyFont="1">
      <alignment horizontal="center"/>
    </xf>
    <xf borderId="20" fillId="6" fontId="11" numFmtId="2" xfId="0" applyAlignment="1" applyBorder="1" applyFont="1" applyNumberFormat="1">
      <alignment horizontal="center"/>
    </xf>
    <xf borderId="17" fillId="0" fontId="12" numFmtId="0" xfId="0" applyAlignment="1" applyBorder="1" applyFont="1">
      <alignment horizontal="center"/>
    </xf>
    <xf borderId="18" fillId="0" fontId="12" numFmtId="0" xfId="0" applyBorder="1" applyFont="1"/>
    <xf borderId="19" fillId="6" fontId="11" numFmtId="2" xfId="0" applyAlignment="1" applyBorder="1" applyFont="1" applyNumberFormat="1">
      <alignment horizontal="center"/>
    </xf>
    <xf borderId="19" fillId="6" fontId="11" numFmtId="0" xfId="0" applyAlignment="1" applyBorder="1" applyFont="1">
      <alignment horizontal="center"/>
    </xf>
    <xf borderId="21" fillId="6" fontId="11" numFmtId="2" xfId="0" applyAlignment="1" applyBorder="1" applyFont="1" applyNumberFormat="1">
      <alignment horizontal="center"/>
    </xf>
    <xf borderId="17" fillId="7" fontId="3" numFmtId="0" xfId="0" applyAlignment="1" applyBorder="1" applyFill="1" applyFont="1">
      <alignment horizontal="center" shrinkToFit="0" vertical="top" wrapText="1"/>
    </xf>
    <xf borderId="18" fillId="0" fontId="5" numFmtId="0" xfId="0" applyBorder="1" applyFont="1"/>
    <xf borderId="22" fillId="0" fontId="5" numFmtId="0" xfId="0" applyBorder="1" applyFont="1"/>
    <xf borderId="23" fillId="0" fontId="12" numFmtId="0" xfId="0" applyAlignment="1" applyBorder="1" applyFont="1">
      <alignment horizontal="center"/>
    </xf>
    <xf borderId="0" fillId="0" fontId="12" numFmtId="0" xfId="0" applyFont="1"/>
    <xf borderId="15" fillId="6" fontId="11" numFmtId="2" xfId="0" applyAlignment="1" applyBorder="1" applyFont="1" applyNumberFormat="1">
      <alignment horizontal="center"/>
    </xf>
    <xf borderId="15" fillId="6" fontId="11" numFmtId="0" xfId="0" applyAlignment="1" applyBorder="1" applyFont="1">
      <alignment horizontal="center"/>
    </xf>
    <xf borderId="24" fillId="0" fontId="5" numFmtId="0" xfId="0" applyBorder="1" applyFont="1"/>
    <xf borderId="25" fillId="0" fontId="5" numFmtId="0" xfId="0" applyBorder="1" applyFont="1"/>
    <xf borderId="26" fillId="0" fontId="5" numFmtId="0" xfId="0" applyBorder="1" applyFont="1"/>
    <xf borderId="27" fillId="7" fontId="13" numFmtId="0" xfId="0" applyAlignment="1" applyBorder="1" applyFont="1">
      <alignment horizontal="center" shrinkToFit="0" vertical="top" wrapText="1"/>
    </xf>
    <xf borderId="28" fillId="0" fontId="5" numFmtId="0" xfId="0" applyBorder="1" applyFont="1"/>
    <xf borderId="29" fillId="0" fontId="5" numFmtId="0" xfId="0" applyBorder="1" applyFont="1"/>
    <xf borderId="0" fillId="0" fontId="1" numFmtId="0" xfId="0" applyAlignment="1" applyFont="1">
      <alignment shrinkToFit="0" vertical="top" wrapText="1"/>
    </xf>
    <xf borderId="30" fillId="0" fontId="12" numFmtId="0" xfId="0" applyAlignment="1" applyBorder="1" applyFont="1">
      <alignment horizontal="center"/>
    </xf>
    <xf borderId="31" fillId="0" fontId="12" numFmtId="0" xfId="0" applyBorder="1" applyFont="1"/>
    <xf borderId="31" fillId="0" fontId="1" numFmtId="0" xfId="0" applyAlignment="1" applyBorder="1" applyFont="1">
      <alignment horizontal="center"/>
    </xf>
    <xf borderId="31" fillId="0" fontId="1" numFmtId="0" xfId="0" applyBorder="1" applyFont="1"/>
    <xf borderId="11" fillId="6" fontId="11" numFmtId="2" xfId="0" applyAlignment="1" applyBorder="1" applyFont="1" applyNumberFormat="1">
      <alignment horizontal="center"/>
    </xf>
    <xf borderId="11" fillId="6" fontId="11" numFmtId="0" xfId="0" applyAlignment="1" applyBorder="1" applyFont="1">
      <alignment horizontal="center"/>
    </xf>
    <xf borderId="12" fillId="6" fontId="11" numFmtId="2" xfId="0" applyAlignment="1" applyBorder="1" applyFont="1" applyNumberFormat="1">
      <alignment horizontal="center"/>
    </xf>
    <xf borderId="0" fillId="0" fontId="1" numFmtId="1" xfId="0" applyFont="1" applyNumberFormat="1"/>
    <xf borderId="32" fillId="6" fontId="1" numFmtId="0" xfId="0" applyAlignment="1" applyBorder="1" applyFont="1">
      <alignment horizontal="right" shrinkToFit="0" vertical="center" wrapText="1"/>
    </xf>
    <xf borderId="33" fillId="0" fontId="5" numFmtId="0" xfId="0" applyBorder="1" applyFont="1"/>
    <xf borderId="34" fillId="0" fontId="5" numFmtId="0" xfId="0" applyBorder="1" applyFont="1"/>
    <xf borderId="20" fillId="6" fontId="1" numFmtId="0" xfId="0" applyAlignment="1" applyBorder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27" fillId="6" fontId="11" numFmtId="0" xfId="0" applyAlignment="1" applyBorder="1" applyFont="1">
      <alignment horizontal="center" vertical="center"/>
    </xf>
    <xf borderId="15" fillId="6" fontId="11" numFmtId="0" xfId="0" applyAlignment="1" applyBorder="1" applyFont="1">
      <alignment horizontal="center" vertical="center"/>
    </xf>
    <xf borderId="10" fillId="6" fontId="11" numFmtId="1" xfId="0" applyAlignment="1" applyBorder="1" applyFont="1" applyNumberFormat="1">
      <alignment horizontal="center" vertical="center"/>
    </xf>
    <xf borderId="10" fillId="6" fontId="11" numFmtId="2" xfId="0" applyAlignment="1" applyBorder="1" applyFont="1" applyNumberFormat="1">
      <alignment horizontal="center" vertical="center"/>
    </xf>
    <xf borderId="11" fillId="6" fontId="11" numFmtId="2" xfId="0" applyAlignment="1" applyBorder="1" applyFont="1" applyNumberFormat="1">
      <alignment horizontal="center" vertical="center"/>
    </xf>
    <xf borderId="11" fillId="6" fontId="11" numFmtId="0" xfId="0" applyAlignment="1" applyBorder="1" applyFont="1">
      <alignment horizontal="center" vertical="center"/>
    </xf>
    <xf borderId="12" fillId="6" fontId="11" numFmtId="2" xfId="0" applyAlignment="1" applyBorder="1" applyFont="1" applyNumberFormat="1">
      <alignment horizontal="center" vertical="center"/>
    </xf>
    <xf borderId="27" fillId="6" fontId="1" numFmtId="0" xfId="0" applyAlignment="1" applyBorder="1" applyFont="1">
      <alignment horizontal="right"/>
    </xf>
    <xf borderId="35" fillId="0" fontId="5" numFmtId="0" xfId="0" applyBorder="1" applyFont="1"/>
    <xf borderId="12" fillId="6" fontId="1" numFmtId="0" xfId="0" applyAlignment="1" applyBorder="1" applyFont="1">
      <alignment horizontal="center"/>
    </xf>
    <xf borderId="0" fillId="0" fontId="1" numFmtId="0" xfId="0" applyAlignment="1" applyFont="1">
      <alignment shrinkToFit="0" wrapText="1"/>
    </xf>
    <xf borderId="0" fillId="0" fontId="1" numFmtId="2" xfId="0" applyAlignment="1" applyFont="1" applyNumberFormat="1">
      <alignment horizontal="center"/>
    </xf>
    <xf borderId="0" fillId="0" fontId="1" numFmtId="2" xfId="0" applyFont="1" applyNumberFormat="1"/>
    <xf borderId="36" fillId="6" fontId="4" numFmtId="0" xfId="0" applyAlignment="1" applyBorder="1" applyFont="1">
      <alignment horizontal="center"/>
    </xf>
    <xf borderId="36" fillId="6" fontId="1" numFmtId="0" xfId="0" applyBorder="1" applyFont="1"/>
    <xf borderId="19" fillId="6" fontId="1" numFmtId="0" xfId="0" applyBorder="1" applyFont="1"/>
    <xf borderId="21" fillId="6" fontId="1" numFmtId="0" xfId="0" applyBorder="1" applyFont="1"/>
    <xf borderId="1" fillId="0" fontId="1" numFmtId="0" xfId="0" applyAlignment="1" applyBorder="1" applyFont="1">
      <alignment horizontal="left"/>
    </xf>
    <xf borderId="2" fillId="0" fontId="5" numFmtId="0" xfId="0" applyBorder="1" applyFont="1"/>
    <xf borderId="2" fillId="0" fontId="1" numFmtId="0" xfId="0" applyAlignment="1" applyBorder="1" applyFont="1">
      <alignment horizontal="center"/>
    </xf>
    <xf borderId="2" fillId="0" fontId="1" numFmtId="9" xfId="0" applyAlignment="1" applyBorder="1" applyFont="1" applyNumberFormat="1">
      <alignment horizontal="center"/>
    </xf>
    <xf borderId="3" fillId="0" fontId="5" numFmtId="0" xfId="0" applyBorder="1" applyFont="1"/>
    <xf borderId="0" fillId="0" fontId="1" numFmtId="9" xfId="0" applyAlignment="1" applyFont="1" applyNumberFormat="1">
      <alignment horizontal="center"/>
    </xf>
    <xf borderId="37" fillId="6" fontId="1" numFmtId="0" xfId="0" applyBorder="1" applyFont="1"/>
    <xf borderId="15" fillId="6" fontId="1" numFmtId="0" xfId="0" applyAlignment="1" applyBorder="1" applyFont="1">
      <alignment horizontal="center"/>
    </xf>
    <xf borderId="20" fillId="6" fontId="1" numFmtId="2" xfId="0" applyBorder="1" applyFont="1" applyNumberFormat="1"/>
    <xf borderId="38" fillId="0" fontId="1" numFmtId="0" xfId="0" applyAlignment="1" applyBorder="1" applyFont="1">
      <alignment horizontal="left"/>
    </xf>
    <xf borderId="39" fillId="0" fontId="5" numFmtId="0" xfId="0" applyBorder="1" applyFont="1"/>
    <xf borderId="39" fillId="0" fontId="1" numFmtId="0" xfId="0" applyAlignment="1" applyBorder="1" applyFont="1">
      <alignment horizontal="center"/>
    </xf>
    <xf borderId="39" fillId="0" fontId="1" numFmtId="9" xfId="0" applyAlignment="1" applyBorder="1" applyFont="1" applyNumberFormat="1">
      <alignment horizontal="center"/>
    </xf>
    <xf borderId="40" fillId="0" fontId="5" numFmtId="0" xfId="0" applyBorder="1" applyFont="1"/>
    <xf borderId="15" fillId="6" fontId="1" numFmtId="1" xfId="0" applyAlignment="1" applyBorder="1" applyFont="1" applyNumberFormat="1">
      <alignment horizontal="center"/>
    </xf>
    <xf borderId="20" fillId="6" fontId="1" numFmtId="0" xfId="0" applyBorder="1" applyFont="1"/>
    <xf borderId="10" fillId="6" fontId="1" numFmtId="0" xfId="0" applyBorder="1" applyFont="1"/>
    <xf borderId="11" fillId="6" fontId="1" numFmtId="0" xfId="0" applyBorder="1" applyFont="1"/>
    <xf borderId="12" fillId="6" fontId="1" numFmtId="2" xfId="0" applyBorder="1" applyFont="1" applyNumberFormat="1"/>
    <xf borderId="27" fillId="8" fontId="3" numFmtId="0" xfId="0" applyAlignment="1" applyBorder="1" applyFill="1" applyFont="1">
      <alignment horizontal="right"/>
    </xf>
    <xf borderId="12" fillId="8" fontId="3" numFmtId="2" xfId="0" applyBorder="1" applyFont="1" applyNumberFormat="1"/>
    <xf borderId="4" fillId="9" fontId="3" numFmtId="0" xfId="0" applyAlignment="1" applyBorder="1" applyFill="1" applyFont="1">
      <alignment horizontal="right"/>
    </xf>
    <xf borderId="41" fillId="0" fontId="5" numFmtId="0" xfId="0" applyBorder="1" applyFont="1"/>
    <xf borderId="14" fillId="9" fontId="3" numFmtId="2" xfId="0" applyBorder="1" applyFont="1" applyNumberFormat="1"/>
    <xf borderId="42" fillId="0" fontId="1" numFmtId="0" xfId="0" applyAlignment="1" applyBorder="1" applyFont="1">
      <alignment horizontal="left"/>
    </xf>
    <xf borderId="43" fillId="0" fontId="5" numFmtId="0" xfId="0" applyBorder="1" applyFont="1"/>
    <xf borderId="43" fillId="0" fontId="1" numFmtId="9" xfId="0" applyAlignment="1" applyBorder="1" applyFont="1" applyNumberFormat="1">
      <alignment horizontal="center"/>
    </xf>
    <xf borderId="44" fillId="0" fontId="5" numFmtId="0" xfId="0" applyBorder="1" applyFont="1"/>
    <xf borderId="16" fillId="6" fontId="1" numFmtId="0" xfId="0" applyAlignment="1" applyBorder="1" applyFont="1">
      <alignment horizontal="center"/>
    </xf>
    <xf borderId="4" fillId="6" fontId="1" numFmtId="9" xfId="0" applyAlignment="1" applyBorder="1" applyFont="1" applyNumberFormat="1">
      <alignment horizontal="center"/>
    </xf>
    <xf borderId="15" fillId="6" fontId="1" numFmtId="9" xfId="0" applyAlignment="1" applyBorder="1" applyFont="1" applyNumberFormat="1">
      <alignment horizontal="center"/>
    </xf>
    <xf borderId="15" fillId="10" fontId="1" numFmtId="0" xfId="0" applyBorder="1" applyFill="1" applyFont="1"/>
    <xf borderId="15" fillId="10" fontId="9" numFmtId="0" xfId="0" applyBorder="1" applyFont="1"/>
    <xf borderId="15" fillId="10" fontId="1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45" fillId="6" fontId="1" numFmtId="0" xfId="0" applyAlignment="1" applyBorder="1" applyFont="1">
      <alignment horizontal="center"/>
    </xf>
    <xf borderId="6" fillId="0" fontId="1" numFmtId="0" xfId="0" applyBorder="1" applyFont="1"/>
    <xf borderId="12" fillId="6" fontId="11" numFmtId="0" xfId="0" applyAlignment="1" applyBorder="1" applyFont="1">
      <alignment horizontal="center" vertical="center"/>
    </xf>
    <xf borderId="46" fillId="6" fontId="11" numFmtId="0" xfId="0" applyAlignment="1" applyBorder="1" applyFont="1">
      <alignment horizontal="center" vertical="center"/>
    </xf>
    <xf borderId="0" fillId="0" fontId="12" numFmtId="164" xfId="0" applyFont="1" applyNumberFormat="1"/>
    <xf borderId="0" fillId="0" fontId="4" numFmtId="0" xfId="0" applyAlignment="1" applyFont="1">
      <alignment horizontal="center"/>
    </xf>
    <xf borderId="0" fillId="0" fontId="14" numFmtId="0" xfId="0" applyFont="1"/>
    <xf borderId="47" fillId="8" fontId="4" numFmtId="0" xfId="0" applyAlignment="1" applyBorder="1" applyFont="1">
      <alignment horizontal="left" shrinkToFit="0" vertical="top" wrapText="1"/>
    </xf>
    <xf borderId="48" fillId="0" fontId="5" numFmtId="0" xfId="0" applyBorder="1" applyFont="1"/>
    <xf borderId="0" fillId="0" fontId="12" numFmtId="0" xfId="0" applyAlignment="1" applyFont="1">
      <alignment horizontal="center"/>
    </xf>
    <xf borderId="49" fillId="0" fontId="5" numFmtId="0" xfId="0" applyBorder="1" applyFont="1"/>
    <xf borderId="50" fillId="0" fontId="5" numFmtId="0" xfId="0" applyBorder="1" applyFont="1"/>
    <xf borderId="18" fillId="0" fontId="1" numFmtId="0" xfId="0" applyAlignment="1" applyBorder="1" applyFont="1">
      <alignment shrinkToFit="0" wrapText="1"/>
    </xf>
    <xf borderId="21" fillId="6" fontId="1" numFmtId="0" xfId="0" applyAlignment="1" applyBorder="1" applyFont="1">
      <alignment horizontal="center" vertical="center"/>
    </xf>
    <xf borderId="16" fillId="6" fontId="11" numFmtId="1" xfId="0" applyAlignment="1" applyBorder="1" applyFont="1" applyNumberFormat="1">
      <alignment horizontal="center" vertical="center"/>
    </xf>
    <xf borderId="21" fillId="6" fontId="1" numFmtId="0" xfId="0" applyAlignment="1" applyBorder="1" applyFont="1">
      <alignment horizontal="center"/>
    </xf>
    <xf borderId="51" fillId="6" fontId="1" numFmtId="0" xfId="0" applyBorder="1" applyFont="1"/>
    <xf borderId="52" fillId="0" fontId="5" numFmtId="0" xfId="0" applyBorder="1" applyFont="1"/>
    <xf borderId="15" fillId="6" fontId="1" numFmtId="0" xfId="0" applyBorder="1" applyFont="1"/>
    <xf borderId="51" fillId="6" fontId="1" numFmtId="0" xfId="0" applyAlignment="1" applyBorder="1" applyFont="1">
      <alignment horizontal="left"/>
    </xf>
    <xf borderId="53" fillId="0" fontId="5" numFmtId="0" xfId="0" applyBorder="1" applyFont="1"/>
    <xf borderId="27" fillId="6" fontId="1" numFmtId="0" xfId="0" applyAlignment="1" applyBorder="1" applyFont="1">
      <alignment horizontal="left"/>
    </xf>
    <xf borderId="36" fillId="6" fontId="4" numFmtId="0" xfId="0" applyAlignment="1" applyBorder="1" applyFont="1">
      <alignment horizontal="center" vertical="center"/>
    </xf>
    <xf borderId="36" fillId="6" fontId="4" numFmtId="0" xfId="0" applyAlignment="1" applyBorder="1" applyFont="1">
      <alignment horizontal="center" shrinkToFit="0" vertical="center" wrapText="1"/>
    </xf>
    <xf borderId="16" fillId="6" fontId="4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/>
    </xf>
    <xf borderId="18" fillId="0" fontId="1" numFmtId="1" xfId="0" applyAlignment="1" applyBorder="1" applyFont="1" applyNumberFormat="1">
      <alignment horizontal="center"/>
    </xf>
    <xf borderId="18" fillId="0" fontId="1" numFmtId="9" xfId="0" applyAlignment="1" applyBorder="1" applyFont="1" applyNumberFormat="1">
      <alignment horizontal="center"/>
    </xf>
    <xf borderId="20" fillId="6" fontId="15" numFmtId="2" xfId="0" applyAlignment="1" applyBorder="1" applyFont="1" applyNumberFormat="1">
      <alignment horizontal="center"/>
    </xf>
    <xf borderId="23" fillId="0" fontId="1" numFmtId="0" xfId="0" applyAlignment="1" applyBorder="1" applyFont="1">
      <alignment horizontal="center"/>
    </xf>
    <xf borderId="0" fillId="0" fontId="1" numFmtId="1" xfId="0" applyAlignment="1" applyFont="1" applyNumberFormat="1">
      <alignment horizontal="center"/>
    </xf>
    <xf borderId="30" fillId="0" fontId="1" numFmtId="0" xfId="0" applyAlignment="1" applyBorder="1" applyFont="1">
      <alignment horizontal="center"/>
    </xf>
    <xf borderId="31" fillId="0" fontId="1" numFmtId="1" xfId="0" applyAlignment="1" applyBorder="1" applyFont="1" applyNumberFormat="1">
      <alignment horizontal="center"/>
    </xf>
    <xf borderId="31" fillId="0" fontId="1" numFmtId="9" xfId="0" applyAlignment="1" applyBorder="1" applyFont="1" applyNumberFormat="1">
      <alignment horizontal="center"/>
    </xf>
    <xf borderId="12" fillId="6" fontId="15" numFmtId="2" xfId="0" applyAlignment="1" applyBorder="1" applyFont="1" applyNumberFormat="1">
      <alignment horizontal="center"/>
    </xf>
    <xf borderId="16" fillId="6" fontId="4" numFmtId="2" xfId="0" applyAlignment="1" applyBorder="1" applyFont="1" applyNumberFormat="1">
      <alignment horizontal="center"/>
    </xf>
    <xf borderId="16" fillId="6" fontId="11" numFmtId="0" xfId="0" applyAlignment="1" applyBorder="1" applyFont="1">
      <alignment horizontal="center" vertical="center"/>
    </xf>
    <xf borderId="13" fillId="6" fontId="11" numFmtId="2" xfId="0" applyAlignment="1" applyBorder="1" applyFont="1" applyNumberFormat="1">
      <alignment horizontal="center" vertical="center"/>
    </xf>
    <xf borderId="45" fillId="6" fontId="11" numFmtId="2" xfId="0" applyAlignment="1" applyBorder="1" applyFont="1" applyNumberFormat="1">
      <alignment horizontal="center" vertical="center"/>
    </xf>
    <xf borderId="45" fillId="6" fontId="11" numFmtId="0" xfId="0" applyAlignment="1" applyBorder="1" applyFont="1">
      <alignment horizontal="center" vertical="center"/>
    </xf>
    <xf borderId="14" fillId="6" fontId="11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>
        <color theme="1"/>
      </font>
      <fill>
        <patternFill patternType="none"/>
      </fill>
      <border/>
    </dxf>
    <dxf>
      <font>
        <b/>
        <color theme="1"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52525" cy="7334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52525" cy="552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denis.eric@cgmatane.qc.ca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0"/>
    <col customWidth="1" min="2" max="2" width="12.13"/>
    <col customWidth="1" min="3" max="3" width="15.0"/>
    <col customWidth="1" min="4" max="4" width="15.13"/>
    <col customWidth="1" min="5" max="5" width="13.75"/>
    <col customWidth="1" min="6" max="6" width="30.75"/>
    <col customWidth="1" min="7" max="7" width="6.88"/>
    <col customWidth="1" min="8" max="8" width="9.75"/>
    <col customWidth="1" hidden="1" min="9" max="9" width="2.88"/>
    <col customWidth="1" min="10" max="10" width="13.88"/>
    <col customWidth="1" min="11" max="11" width="9.88"/>
    <col customWidth="1" min="12" max="12" width="10.63"/>
    <col customWidth="1" min="13" max="13" width="11.13"/>
    <col customWidth="1" min="14" max="14" width="7.63"/>
    <col customWidth="1" min="15" max="15" width="1.0"/>
    <col customWidth="1" min="16" max="26" width="9.88"/>
  </cols>
  <sheetData>
    <row r="1">
      <c r="A1" s="1"/>
      <c r="B1" s="2" t="s">
        <v>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4" t="s">
        <v>1</v>
      </c>
      <c r="M2" s="5" t="s">
        <v>2</v>
      </c>
      <c r="N2" s="6" t="s">
        <v>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3"/>
      <c r="F3" s="7" t="s">
        <v>4</v>
      </c>
      <c r="G3" s="8" t="s">
        <v>5</v>
      </c>
      <c r="H3" s="9"/>
      <c r="I3" s="9"/>
      <c r="J3" s="10"/>
      <c r="K3" s="1"/>
      <c r="L3" s="11" t="s">
        <v>6</v>
      </c>
      <c r="M3" s="12">
        <f>M28</f>
        <v>41.74</v>
      </c>
      <c r="N3" s="13">
        <f>M29</f>
        <v>0.5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14" t="s">
        <v>7</v>
      </c>
      <c r="M4" s="15">
        <f>M55</f>
        <v>39.02</v>
      </c>
      <c r="N4" s="16">
        <f>M56</f>
        <v>0.5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7" t="s">
        <v>8</v>
      </c>
      <c r="C5" s="17"/>
      <c r="D5" s="17"/>
      <c r="E5" s="3"/>
      <c r="F5" s="1"/>
      <c r="G5" s="1"/>
      <c r="H5" s="1"/>
      <c r="I5" s="1"/>
      <c r="J5" s="1"/>
      <c r="K5" s="1"/>
      <c r="L5" s="18" t="s">
        <v>9</v>
      </c>
      <c r="M5" s="19">
        <f t="shared" ref="M5:N5" si="1">SUM(M3:M4)</f>
        <v>80.76</v>
      </c>
      <c r="N5" s="20">
        <f t="shared" si="1"/>
        <v>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7" t="str">
        <f>Formules!A2</f>
        <v>Version : 15 sept 2019</v>
      </c>
      <c r="C6" s="17"/>
      <c r="D6" s="17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1"/>
      <c r="C7" s="21"/>
      <c r="D7" s="2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6.75" customHeight="1">
      <c r="A8" s="22"/>
      <c r="B8" s="23"/>
      <c r="C8" s="23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2"/>
      <c r="B9" s="25" t="s">
        <v>6</v>
      </c>
      <c r="C9" s="25"/>
      <c r="D9" s="25"/>
      <c r="E9" s="3"/>
      <c r="F9" s="1"/>
      <c r="G9" s="1"/>
      <c r="H9" s="1"/>
      <c r="I9" s="1"/>
      <c r="J9" s="1"/>
      <c r="K9" s="1"/>
      <c r="L9" s="1"/>
      <c r="M9" s="1"/>
      <c r="N9" s="1"/>
      <c r="O9" s="2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2"/>
      <c r="B10" s="1"/>
      <c r="C10" s="1"/>
      <c r="D10" s="1"/>
      <c r="E10" s="3"/>
      <c r="F10" s="1"/>
      <c r="G10" s="26" t="s">
        <v>10</v>
      </c>
      <c r="H10" s="10"/>
      <c r="I10" s="27"/>
      <c r="J10" s="1"/>
      <c r="K10" s="1"/>
      <c r="L10" s="1"/>
      <c r="M10" s="1"/>
      <c r="N10" s="1"/>
      <c r="O10" s="2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2"/>
      <c r="B11" s="28" t="s">
        <v>11</v>
      </c>
      <c r="C11" s="28" t="s">
        <v>12</v>
      </c>
      <c r="D11" s="28" t="s">
        <v>13</v>
      </c>
      <c r="E11" s="28" t="s">
        <v>14</v>
      </c>
      <c r="F11" s="28" t="s">
        <v>15</v>
      </c>
      <c r="G11" s="28" t="s">
        <v>16</v>
      </c>
      <c r="H11" s="28" t="s">
        <v>17</v>
      </c>
      <c r="I11" s="28"/>
      <c r="J11" s="28" t="s">
        <v>18</v>
      </c>
      <c r="K11" s="28" t="s">
        <v>19</v>
      </c>
      <c r="L11" s="28" t="s">
        <v>20</v>
      </c>
      <c r="M11" s="28" t="s">
        <v>21</v>
      </c>
      <c r="N11" s="28" t="s">
        <v>2</v>
      </c>
      <c r="O11" s="2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2"/>
      <c r="B12" s="29"/>
      <c r="C12" s="30"/>
      <c r="D12" s="30"/>
      <c r="E12" s="31"/>
      <c r="F12" s="30"/>
      <c r="G12" s="30"/>
      <c r="H12" s="30"/>
      <c r="I12" s="30"/>
      <c r="J12" s="30"/>
      <c r="K12" s="32">
        <f>E22</f>
        <v>0.9</v>
      </c>
      <c r="L12" s="32" t="s">
        <v>22</v>
      </c>
      <c r="M12" s="32" t="s">
        <v>23</v>
      </c>
      <c r="N12" s="33"/>
      <c r="O12" s="2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2"/>
      <c r="B13" s="34">
        <f>IF(ISBLANK(E13),0,1)</f>
        <v>1</v>
      </c>
      <c r="C13" s="35">
        <v>2.0</v>
      </c>
      <c r="D13" s="35" t="b">
        <v>1</v>
      </c>
      <c r="E13" s="31" t="s">
        <v>24</v>
      </c>
      <c r="F13" s="30" t="s">
        <v>25</v>
      </c>
      <c r="G13" s="31">
        <v>3.0</v>
      </c>
      <c r="H13" s="31">
        <v>0.0</v>
      </c>
      <c r="I13" s="31">
        <f t="shared" ref="I13:I18" si="2">SUM(G13:H13)</f>
        <v>3</v>
      </c>
      <c r="J13" s="31">
        <v>35.0</v>
      </c>
      <c r="K13" s="36">
        <f t="shared" ref="K13:K20" si="3">IF(B13=1,$E$22*SUM(G13:H13)*B13,$E$22*SUM(G13:H13)*D13)</f>
        <v>2.7</v>
      </c>
      <c r="L13" s="36">
        <f t="shared" ref="L13:L20" si="4">SUM(G13:H13)*1.2</f>
        <v>3.6</v>
      </c>
      <c r="M13" s="37">
        <f t="shared" ref="M13:M20" si="5">SUM(G13:H13)*J13*0.04</f>
        <v>4.2</v>
      </c>
      <c r="N13" s="38">
        <f t="shared" ref="N13:N21" si="6">SUM(K13:M13)</f>
        <v>10.5</v>
      </c>
      <c r="O13" s="22"/>
      <c r="P13" s="1"/>
      <c r="Q13" s="39" t="s">
        <v>26</v>
      </c>
      <c r="R13" s="40"/>
      <c r="S13" s="40"/>
      <c r="T13" s="40"/>
      <c r="U13" s="41"/>
      <c r="V13" s="1"/>
      <c r="W13" s="1"/>
      <c r="X13" s="1"/>
      <c r="Y13" s="1"/>
      <c r="Z13" s="1"/>
    </row>
    <row r="14">
      <c r="A14" s="22"/>
      <c r="B14" s="42">
        <f>IF(ISBLANK(E14),0,IF(COUNTIF(E13,E14)&gt;=1,0,1))</f>
        <v>0</v>
      </c>
      <c r="C14" s="43">
        <v>2.0</v>
      </c>
      <c r="D14" s="43" t="b">
        <v>0</v>
      </c>
      <c r="E14" s="3"/>
      <c r="F14" s="1" t="s">
        <v>27</v>
      </c>
      <c r="G14" s="3">
        <v>3.0</v>
      </c>
      <c r="H14" s="3">
        <v>0.0</v>
      </c>
      <c r="I14" s="3">
        <f t="shared" si="2"/>
        <v>3</v>
      </c>
      <c r="J14" s="3">
        <v>35.0</v>
      </c>
      <c r="K14" s="44">
        <f t="shared" si="3"/>
        <v>0</v>
      </c>
      <c r="L14" s="44">
        <f t="shared" si="4"/>
        <v>3.6</v>
      </c>
      <c r="M14" s="45">
        <f t="shared" si="5"/>
        <v>4.2</v>
      </c>
      <c r="N14" s="33">
        <f t="shared" si="6"/>
        <v>7.8</v>
      </c>
      <c r="O14" s="22"/>
      <c r="P14" s="1"/>
      <c r="Q14" s="46"/>
      <c r="R14" s="47"/>
      <c r="S14" s="47"/>
      <c r="T14" s="47"/>
      <c r="U14" s="48"/>
      <c r="V14" s="1"/>
      <c r="W14" s="1"/>
      <c r="X14" s="1"/>
      <c r="Y14" s="1"/>
      <c r="Z14" s="1"/>
    </row>
    <row r="15" ht="15.0" customHeight="1">
      <c r="A15" s="22"/>
      <c r="B15" s="42">
        <f t="shared" ref="B15:B20" si="7">IF(ISBLANK($E15),0,IF(COUNTIF($E$13:$E14,E15)&gt;=1,0,1))</f>
        <v>0</v>
      </c>
      <c r="C15" s="43">
        <v>2.0</v>
      </c>
      <c r="D15" s="43" t="b">
        <v>0</v>
      </c>
      <c r="E15" s="3"/>
      <c r="F15" s="1" t="s">
        <v>28</v>
      </c>
      <c r="G15" s="3">
        <v>3.0</v>
      </c>
      <c r="H15" s="3">
        <v>0.0</v>
      </c>
      <c r="I15" s="3">
        <f t="shared" si="2"/>
        <v>3</v>
      </c>
      <c r="J15" s="3">
        <v>30.0</v>
      </c>
      <c r="K15" s="44">
        <f t="shared" si="3"/>
        <v>0</v>
      </c>
      <c r="L15" s="44">
        <f t="shared" si="4"/>
        <v>3.6</v>
      </c>
      <c r="M15" s="45">
        <f t="shared" si="5"/>
        <v>3.6</v>
      </c>
      <c r="N15" s="33">
        <f t="shared" si="6"/>
        <v>7.2</v>
      </c>
      <c r="O15" s="22"/>
      <c r="P15" s="1"/>
      <c r="Q15" s="49" t="s">
        <v>29</v>
      </c>
      <c r="R15" s="50"/>
      <c r="S15" s="50"/>
      <c r="T15" s="50"/>
      <c r="U15" s="51"/>
      <c r="V15" s="1"/>
      <c r="W15" s="1"/>
      <c r="X15" s="1"/>
      <c r="Y15" s="1"/>
      <c r="Z15" s="1"/>
    </row>
    <row r="16">
      <c r="A16" s="22"/>
      <c r="B16" s="42">
        <f t="shared" si="7"/>
        <v>0</v>
      </c>
      <c r="C16" s="43">
        <v>1.0</v>
      </c>
      <c r="D16" s="43" t="b">
        <v>0</v>
      </c>
      <c r="E16" s="3"/>
      <c r="F16" s="1"/>
      <c r="G16" s="3"/>
      <c r="H16" s="3"/>
      <c r="I16" s="3">
        <f t="shared" si="2"/>
        <v>0</v>
      </c>
      <c r="J16" s="3"/>
      <c r="K16" s="44">
        <f t="shared" si="3"/>
        <v>0</v>
      </c>
      <c r="L16" s="44">
        <f t="shared" si="4"/>
        <v>0</v>
      </c>
      <c r="M16" s="45">
        <f t="shared" si="5"/>
        <v>0</v>
      </c>
      <c r="N16" s="33">
        <f t="shared" si="6"/>
        <v>0</v>
      </c>
      <c r="O16" s="22"/>
      <c r="P16" s="1"/>
      <c r="Q16" s="52"/>
      <c r="R16" s="52"/>
      <c r="S16" s="52"/>
      <c r="T16" s="52"/>
      <c r="U16" s="1"/>
      <c r="V16" s="1"/>
      <c r="W16" s="1"/>
      <c r="X16" s="1"/>
      <c r="Y16" s="1"/>
      <c r="Z16" s="1"/>
    </row>
    <row r="17">
      <c r="A17" s="22"/>
      <c r="B17" s="42">
        <f t="shared" si="7"/>
        <v>1</v>
      </c>
      <c r="C17" s="43">
        <v>2.0</v>
      </c>
      <c r="D17" s="43" t="b">
        <v>1</v>
      </c>
      <c r="E17" s="3" t="s">
        <v>30</v>
      </c>
      <c r="F17" s="1" t="s">
        <v>31</v>
      </c>
      <c r="G17" s="3">
        <v>3.0</v>
      </c>
      <c r="H17" s="3">
        <v>0.0</v>
      </c>
      <c r="I17" s="3">
        <f t="shared" si="2"/>
        <v>3</v>
      </c>
      <c r="J17" s="3">
        <v>38.0</v>
      </c>
      <c r="K17" s="44">
        <f t="shared" si="3"/>
        <v>2.7</v>
      </c>
      <c r="L17" s="44">
        <f t="shared" si="4"/>
        <v>3.6</v>
      </c>
      <c r="M17" s="45">
        <f t="shared" si="5"/>
        <v>4.56</v>
      </c>
      <c r="N17" s="33">
        <f t="shared" si="6"/>
        <v>10.86</v>
      </c>
      <c r="O17" s="22"/>
      <c r="P17" s="1"/>
      <c r="Q17" s="52"/>
      <c r="R17" s="52"/>
      <c r="S17" s="52"/>
      <c r="T17" s="52"/>
      <c r="U17" s="1"/>
      <c r="V17" s="1"/>
      <c r="W17" s="1"/>
      <c r="X17" s="1"/>
      <c r="Y17" s="1"/>
      <c r="Z17" s="1"/>
    </row>
    <row r="18">
      <c r="A18" s="22"/>
      <c r="B18" s="42">
        <f t="shared" si="7"/>
        <v>0</v>
      </c>
      <c r="C18" s="43">
        <v>1.0</v>
      </c>
      <c r="D18" s="43" t="b">
        <v>0</v>
      </c>
      <c r="E18" s="3"/>
      <c r="F18" s="1"/>
      <c r="G18" s="3"/>
      <c r="H18" s="3"/>
      <c r="I18" s="3">
        <f t="shared" si="2"/>
        <v>0</v>
      </c>
      <c r="J18" s="3"/>
      <c r="K18" s="44">
        <f t="shared" si="3"/>
        <v>0</v>
      </c>
      <c r="L18" s="44">
        <f t="shared" si="4"/>
        <v>0</v>
      </c>
      <c r="M18" s="45">
        <f t="shared" si="5"/>
        <v>0</v>
      </c>
      <c r="N18" s="33">
        <f t="shared" si="6"/>
        <v>0</v>
      </c>
      <c r="O18" s="22"/>
      <c r="P18" s="1"/>
      <c r="Q18" s="52"/>
      <c r="R18" s="52"/>
      <c r="S18" s="52"/>
      <c r="T18" s="52"/>
      <c r="U18" s="1"/>
      <c r="V18" s="1"/>
      <c r="W18" s="1"/>
      <c r="X18" s="1"/>
      <c r="Y18" s="1"/>
      <c r="Z18" s="1"/>
    </row>
    <row r="19">
      <c r="A19" s="22"/>
      <c r="B19" s="42">
        <f t="shared" si="7"/>
        <v>0</v>
      </c>
      <c r="C19" s="43">
        <v>1.0</v>
      </c>
      <c r="D19" s="43" t="b">
        <v>0</v>
      </c>
      <c r="E19" s="3"/>
      <c r="F19" s="1"/>
      <c r="G19" s="3"/>
      <c r="H19" s="3"/>
      <c r="I19" s="3"/>
      <c r="J19" s="3"/>
      <c r="K19" s="44">
        <f t="shared" si="3"/>
        <v>0</v>
      </c>
      <c r="L19" s="44">
        <f t="shared" si="4"/>
        <v>0</v>
      </c>
      <c r="M19" s="45">
        <f t="shared" si="5"/>
        <v>0</v>
      </c>
      <c r="N19" s="33">
        <f t="shared" si="6"/>
        <v>0</v>
      </c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2"/>
      <c r="B20" s="53">
        <f t="shared" si="7"/>
        <v>0</v>
      </c>
      <c r="C20" s="54">
        <v>1.0</v>
      </c>
      <c r="D20" s="54" t="b">
        <v>0</v>
      </c>
      <c r="E20" s="55"/>
      <c r="F20" s="56"/>
      <c r="G20" s="55"/>
      <c r="H20" s="55"/>
      <c r="I20" s="55">
        <f>SUM(G20:H20)</f>
        <v>0</v>
      </c>
      <c r="J20" s="55"/>
      <c r="K20" s="57">
        <f t="shared" si="3"/>
        <v>0</v>
      </c>
      <c r="L20" s="57">
        <f t="shared" si="4"/>
        <v>0</v>
      </c>
      <c r="M20" s="58">
        <f t="shared" si="5"/>
        <v>0</v>
      </c>
      <c r="N20" s="59">
        <f t="shared" si="6"/>
        <v>0</v>
      </c>
      <c r="O20" s="22"/>
      <c r="P20" s="1"/>
      <c r="Q20" s="60"/>
      <c r="R20" s="1"/>
      <c r="S20" s="1"/>
      <c r="T20" s="1"/>
      <c r="U20" s="1"/>
      <c r="V20" s="1"/>
      <c r="W20" s="1"/>
      <c r="X20" s="1"/>
      <c r="Y20" s="1"/>
      <c r="Z20" s="1"/>
    </row>
    <row r="21" ht="30.75" customHeight="1">
      <c r="A21" s="22"/>
      <c r="B21" s="61" t="s">
        <v>32</v>
      </c>
      <c r="C21" s="62"/>
      <c r="D21" s="63"/>
      <c r="E21" s="64">
        <f>SUM(IF(B13,1,0),IF(B14,1,0),IF(B15,1,0),IF(B16,1,0),IF(B17,1,0),IF(B18,1,0),IF(B19,1,0),IF(B20,1,0))</f>
        <v>2</v>
      </c>
      <c r="F21" s="65"/>
      <c r="G21" s="66">
        <f>SUM(G13:H20)</f>
        <v>12</v>
      </c>
      <c r="H21" s="51"/>
      <c r="I21" s="67"/>
      <c r="J21" s="68">
        <f>SUMIF(I13:I20,"&gt;=3",J13:J20)</f>
        <v>138</v>
      </c>
      <c r="K21" s="69">
        <f t="shared" ref="K21:M21" si="8">SUM(K13:K20)</f>
        <v>5.4</v>
      </c>
      <c r="L21" s="70">
        <f t="shared" si="8"/>
        <v>14.4</v>
      </c>
      <c r="M21" s="71">
        <f t="shared" si="8"/>
        <v>16.56</v>
      </c>
      <c r="N21" s="72">
        <f t="shared" si="6"/>
        <v>36.36</v>
      </c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2"/>
      <c r="B22" s="73" t="s">
        <v>33</v>
      </c>
      <c r="C22" s="50"/>
      <c r="D22" s="74"/>
      <c r="E22" s="75">
        <f>IF(E21 =1,0.9,IF(E21 =2,0.9,IF(E21 = 3,1.1,IF(E21 &gt;= 4,1.9,0))))</f>
        <v>0.9</v>
      </c>
      <c r="F22" s="76"/>
      <c r="G22" s="3"/>
      <c r="H22" s="3"/>
      <c r="I22" s="3"/>
      <c r="J22" s="1"/>
      <c r="K22" s="77"/>
      <c r="L22" s="77"/>
      <c r="M22" s="1"/>
      <c r="N22" s="78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2"/>
      <c r="B23" s="1"/>
      <c r="C23" s="1"/>
      <c r="D23" s="1"/>
      <c r="E23" s="3"/>
      <c r="F23" s="1"/>
      <c r="G23" s="1"/>
      <c r="H23" s="1"/>
      <c r="I23" s="1"/>
      <c r="J23" s="1"/>
      <c r="K23" s="1"/>
      <c r="L23" s="1"/>
      <c r="M23" s="1"/>
      <c r="N23" s="1"/>
      <c r="O23" s="2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2"/>
      <c r="B24" s="26" t="s">
        <v>34</v>
      </c>
      <c r="C24" s="9"/>
      <c r="D24" s="9"/>
      <c r="E24" s="10"/>
      <c r="F24" s="79" t="s">
        <v>35</v>
      </c>
      <c r="G24" s="26" t="s">
        <v>36</v>
      </c>
      <c r="H24" s="10"/>
      <c r="I24" s="27"/>
      <c r="J24" s="1"/>
      <c r="K24" s="80" t="str">
        <f>CONCATENATE(Formules!A12,Plafond_PES)</f>
        <v>Bonification PES &gt; 415</v>
      </c>
      <c r="L24" s="81"/>
      <c r="M24" s="82">
        <f>IF(((SUM(G13:H13)*J13+SUM(G14:H14)*J14+SUM(G15:H15)*J15+SUM(G16:H16)*J16+SUM(G17:H17)*J17+SUM(G18:H18)*J18+SUM(G19:H19)*J19+SUM(G20:H20)*J20)-Plafond_PES)*0.04&lt;0,0,((SUM(G13:H13)*J13+SUM(G14:H14)*J14+SUM(G15:H15)*J15+SUM(G16:H16)*J16+SUM(G17:H17)*J17+SUM(G18:H18)*J18+SUM(G19:H19)*J19+SUM(G20:H20)*J20)-Plafond_PES)*0.04)</f>
        <v>0</v>
      </c>
      <c r="N24" s="1"/>
      <c r="O24" s="2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2"/>
      <c r="B25" s="83" t="s">
        <v>37</v>
      </c>
      <c r="C25" s="84"/>
      <c r="D25" s="84"/>
      <c r="E25" s="84"/>
      <c r="F25" s="85">
        <v>0.05</v>
      </c>
      <c r="G25" s="86"/>
      <c r="H25" s="87"/>
      <c r="I25" s="88"/>
      <c r="J25" s="1"/>
      <c r="K25" s="89" t="s">
        <v>38</v>
      </c>
      <c r="L25" s="90">
        <f>IF((J21-160)&lt;1,0,J21-160)</f>
        <v>0</v>
      </c>
      <c r="M25" s="91">
        <f>(L25^2)*0.1</f>
        <v>0</v>
      </c>
      <c r="N25" s="1"/>
      <c r="O25" s="2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2"/>
      <c r="B26" s="92"/>
      <c r="C26" s="93"/>
      <c r="D26" s="93"/>
      <c r="E26" s="93"/>
      <c r="F26" s="94"/>
      <c r="G26" s="95"/>
      <c r="H26" s="96"/>
      <c r="I26" s="88"/>
      <c r="J26" s="1"/>
      <c r="K26" s="89" t="s">
        <v>39</v>
      </c>
      <c r="L26" s="97">
        <f>IF(J21&lt;75,0,J21)</f>
        <v>138</v>
      </c>
      <c r="M26" s="98">
        <f>L26*0.01</f>
        <v>1.38</v>
      </c>
      <c r="N26" s="1"/>
      <c r="O26" s="2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2"/>
      <c r="B27" s="92"/>
      <c r="C27" s="93"/>
      <c r="D27" s="93"/>
      <c r="E27" s="93"/>
      <c r="F27" s="94"/>
      <c r="G27" s="95"/>
      <c r="H27" s="96"/>
      <c r="I27" s="88"/>
      <c r="J27" s="1"/>
      <c r="K27" s="99" t="s">
        <v>40</v>
      </c>
      <c r="L27" s="100"/>
      <c r="M27" s="101">
        <f>F31*80+G31*40</f>
        <v>4</v>
      </c>
      <c r="N27" s="1"/>
      <c r="O27" s="2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2"/>
      <c r="B28" s="92"/>
      <c r="C28" s="93"/>
      <c r="D28" s="93"/>
      <c r="E28" s="93"/>
      <c r="F28" s="94"/>
      <c r="G28" s="95"/>
      <c r="H28" s="96"/>
      <c r="I28" s="88"/>
      <c r="J28" s="1"/>
      <c r="K28" s="102" t="s">
        <v>41</v>
      </c>
      <c r="L28" s="74"/>
      <c r="M28" s="103">
        <f>SUM(M24:M27,N21)</f>
        <v>41.74</v>
      </c>
      <c r="N28" s="1"/>
      <c r="O28" s="2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2"/>
      <c r="B29" s="92"/>
      <c r="C29" s="93"/>
      <c r="D29" s="93"/>
      <c r="E29" s="93"/>
      <c r="F29" s="94"/>
      <c r="G29" s="95"/>
      <c r="H29" s="96"/>
      <c r="I29" s="88"/>
      <c r="J29" s="1"/>
      <c r="K29" s="104" t="s">
        <v>42</v>
      </c>
      <c r="L29" s="105"/>
      <c r="M29" s="106">
        <f>IF(M28/80&gt;0.45,0.5,M28/80)</f>
        <v>0.5</v>
      </c>
      <c r="N29" s="1"/>
      <c r="O29" s="2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2"/>
      <c r="B30" s="107"/>
      <c r="C30" s="108"/>
      <c r="D30" s="108"/>
      <c r="E30" s="108"/>
      <c r="F30" s="55"/>
      <c r="G30" s="109"/>
      <c r="H30" s="110"/>
      <c r="I30" s="88"/>
      <c r="J30" s="1"/>
      <c r="K30" s="1"/>
      <c r="L30" s="1"/>
      <c r="M30" s="1"/>
      <c r="N30" s="1"/>
      <c r="O30" s="2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2"/>
      <c r="B31" s="1"/>
      <c r="C31" s="1"/>
      <c r="D31" s="1"/>
      <c r="E31" s="3"/>
      <c r="F31" s="111">
        <f>SUM(F25:F30)</f>
        <v>0.05</v>
      </c>
      <c r="G31" s="112">
        <f>SUM(G25:H30)</f>
        <v>0</v>
      </c>
      <c r="H31" s="10"/>
      <c r="I31" s="113"/>
      <c r="J31" s="1"/>
      <c r="K31" s="1"/>
      <c r="L31" s="1"/>
      <c r="M31" s="1"/>
      <c r="N31" s="1"/>
      <c r="O31" s="2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2"/>
      <c r="B32" s="1"/>
      <c r="C32" s="1"/>
      <c r="D32" s="1"/>
      <c r="E32" s="3"/>
      <c r="F32" s="1"/>
      <c r="G32" s="1"/>
      <c r="H32" s="1"/>
      <c r="I32" s="1"/>
      <c r="J32" s="1"/>
      <c r="K32" s="1"/>
      <c r="L32" s="1"/>
      <c r="M32" s="1"/>
      <c r="N32" s="1"/>
      <c r="O32" s="2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6.75" customHeight="1">
      <c r="A33" s="22"/>
      <c r="B33" s="23"/>
      <c r="C33" s="23"/>
      <c r="D33" s="23"/>
      <c r="E33" s="24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6.75" customHeight="1">
      <c r="A35" s="114"/>
      <c r="B35" s="115"/>
      <c r="C35" s="115"/>
      <c r="D35" s="115"/>
      <c r="E35" s="116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14"/>
      <c r="B36" s="25" t="s">
        <v>7</v>
      </c>
      <c r="C36" s="25"/>
      <c r="D36" s="25"/>
      <c r="E36" s="3"/>
      <c r="F36" s="1"/>
      <c r="G36" s="1"/>
      <c r="H36" s="1"/>
      <c r="I36" s="1"/>
      <c r="J36" s="1"/>
      <c r="K36" s="1"/>
      <c r="L36" s="1"/>
      <c r="M36" s="1"/>
      <c r="N36" s="1"/>
      <c r="O36" s="11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14"/>
      <c r="B37" s="1"/>
      <c r="C37" s="1"/>
      <c r="D37" s="1"/>
      <c r="E37" s="3"/>
      <c r="F37" s="1"/>
      <c r="G37" s="26" t="s">
        <v>10</v>
      </c>
      <c r="H37" s="10"/>
      <c r="I37" s="27"/>
      <c r="J37" s="1"/>
      <c r="K37" s="1"/>
      <c r="L37" s="1"/>
      <c r="M37" s="1"/>
      <c r="N37" s="1"/>
      <c r="O37" s="11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14"/>
      <c r="B38" s="28" t="s">
        <v>11</v>
      </c>
      <c r="C38" s="28" t="s">
        <v>12</v>
      </c>
      <c r="D38" s="28" t="s">
        <v>13</v>
      </c>
      <c r="E38" s="28" t="s">
        <v>14</v>
      </c>
      <c r="F38" s="28" t="s">
        <v>15</v>
      </c>
      <c r="G38" s="28" t="s">
        <v>43</v>
      </c>
      <c r="H38" s="28" t="s">
        <v>17</v>
      </c>
      <c r="I38" s="28"/>
      <c r="J38" s="28" t="s">
        <v>18</v>
      </c>
      <c r="K38" s="28" t="s">
        <v>19</v>
      </c>
      <c r="L38" s="28" t="s">
        <v>20</v>
      </c>
      <c r="M38" s="28" t="s">
        <v>21</v>
      </c>
      <c r="N38" s="28" t="s">
        <v>2</v>
      </c>
      <c r="O38" s="11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14"/>
      <c r="B39" s="117"/>
      <c r="C39" s="118"/>
      <c r="D39" s="118"/>
      <c r="E39" s="119"/>
      <c r="F39" s="118"/>
      <c r="G39" s="118"/>
      <c r="H39" s="118"/>
      <c r="I39" s="118"/>
      <c r="J39" s="118"/>
      <c r="K39" s="120">
        <f>E49</f>
        <v>0.9</v>
      </c>
      <c r="L39" s="120" t="s">
        <v>22</v>
      </c>
      <c r="M39" s="120" t="s">
        <v>23</v>
      </c>
      <c r="N39" s="121"/>
      <c r="O39" s="11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14"/>
      <c r="B40" s="34">
        <f>IF(ISBLANK(E40),0,1)</f>
        <v>1</v>
      </c>
      <c r="C40" s="35">
        <v>4.0</v>
      </c>
      <c r="D40" s="35" t="b">
        <v>1</v>
      </c>
      <c r="E40" s="31" t="s">
        <v>44</v>
      </c>
      <c r="F40" s="30" t="s">
        <v>25</v>
      </c>
      <c r="G40" s="31">
        <v>3.0</v>
      </c>
      <c r="H40" s="31">
        <v>1.0</v>
      </c>
      <c r="I40" s="31">
        <f t="shared" ref="I40:I47" si="9">SUM(G40:H40)</f>
        <v>4</v>
      </c>
      <c r="J40" s="31">
        <v>38.0</v>
      </c>
      <c r="K40" s="36">
        <f t="shared" ref="K40:K47" si="10">IF(B40=1,$E$49*SUM(G40:H40)*B40,$E$49*SUM(G40:H40)*D40)</f>
        <v>3.6</v>
      </c>
      <c r="L40" s="36">
        <f t="shared" ref="L40:L47" si="11">SUM(G40:H40)*1.2</f>
        <v>4.8</v>
      </c>
      <c r="M40" s="37">
        <f t="shared" ref="M40:M47" si="12">SUM(G40:H40)*J40*0.04</f>
        <v>6.08</v>
      </c>
      <c r="N40" s="38">
        <f t="shared" ref="N40:N48" si="13">SUM(K40:M40)</f>
        <v>14.48</v>
      </c>
      <c r="O40" s="11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14"/>
      <c r="B41" s="42">
        <f>IF(ISBLANK(E41),0,IF(COUNTIF(E40,E41)&gt;=1,0,1))</f>
        <v>0</v>
      </c>
      <c r="C41" s="43">
        <v>4.0</v>
      </c>
      <c r="D41" s="43" t="b">
        <v>0</v>
      </c>
      <c r="E41" s="3" t="s">
        <v>44</v>
      </c>
      <c r="F41" s="1" t="s">
        <v>27</v>
      </c>
      <c r="G41" s="3">
        <v>3.0</v>
      </c>
      <c r="H41" s="3">
        <v>1.0</v>
      </c>
      <c r="I41" s="3">
        <f t="shared" si="9"/>
        <v>4</v>
      </c>
      <c r="J41" s="3">
        <v>38.0</v>
      </c>
      <c r="K41" s="44">
        <f t="shared" si="10"/>
        <v>0</v>
      </c>
      <c r="L41" s="44">
        <f t="shared" si="11"/>
        <v>4.8</v>
      </c>
      <c r="M41" s="45">
        <f t="shared" si="12"/>
        <v>6.08</v>
      </c>
      <c r="N41" s="33">
        <f t="shared" si="13"/>
        <v>10.88</v>
      </c>
      <c r="O41" s="11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14"/>
      <c r="B42" s="42">
        <f t="shared" ref="B42:B47" si="14">IF(ISBLANK($E42),0,IF(COUNTIF($E$40:$E41,E42)&gt;=1,0,1))</f>
        <v>0</v>
      </c>
      <c r="C42" s="43">
        <v>4.0</v>
      </c>
      <c r="D42" s="43" t="b">
        <v>0</v>
      </c>
      <c r="E42" s="3" t="s">
        <v>44</v>
      </c>
      <c r="F42" s="1" t="s">
        <v>28</v>
      </c>
      <c r="G42" s="3">
        <v>3.0</v>
      </c>
      <c r="H42" s="3">
        <v>1.0</v>
      </c>
      <c r="I42" s="3">
        <f t="shared" si="9"/>
        <v>4</v>
      </c>
      <c r="J42" s="3">
        <v>38.0</v>
      </c>
      <c r="K42" s="44">
        <f t="shared" si="10"/>
        <v>0</v>
      </c>
      <c r="L42" s="44">
        <f t="shared" si="11"/>
        <v>4.8</v>
      </c>
      <c r="M42" s="45">
        <f t="shared" si="12"/>
        <v>6.08</v>
      </c>
      <c r="N42" s="33">
        <f t="shared" si="13"/>
        <v>10.88</v>
      </c>
      <c r="O42" s="11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14"/>
      <c r="B43" s="42">
        <f t="shared" si="14"/>
        <v>0</v>
      </c>
      <c r="C43" s="43">
        <v>1.0</v>
      </c>
      <c r="D43" s="43" t="b">
        <v>0</v>
      </c>
      <c r="E43" s="3"/>
      <c r="F43" s="1"/>
      <c r="G43" s="3"/>
      <c r="H43" s="3"/>
      <c r="I43" s="3">
        <f t="shared" si="9"/>
        <v>0</v>
      </c>
      <c r="J43" s="3"/>
      <c r="K43" s="44">
        <f t="shared" si="10"/>
        <v>0</v>
      </c>
      <c r="L43" s="44">
        <f t="shared" si="11"/>
        <v>0</v>
      </c>
      <c r="M43" s="45">
        <f t="shared" si="12"/>
        <v>0</v>
      </c>
      <c r="N43" s="33">
        <f t="shared" si="13"/>
        <v>0</v>
      </c>
      <c r="O43" s="11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14"/>
      <c r="B44" s="42">
        <f t="shared" si="14"/>
        <v>0</v>
      </c>
      <c r="C44" s="43">
        <v>1.0</v>
      </c>
      <c r="D44" s="43" t="b">
        <v>0</v>
      </c>
      <c r="E44" s="3"/>
      <c r="F44" s="1"/>
      <c r="G44" s="3"/>
      <c r="H44" s="3"/>
      <c r="I44" s="3">
        <f t="shared" si="9"/>
        <v>0</v>
      </c>
      <c r="J44" s="3"/>
      <c r="K44" s="44">
        <f t="shared" si="10"/>
        <v>0</v>
      </c>
      <c r="L44" s="44">
        <f t="shared" si="11"/>
        <v>0</v>
      </c>
      <c r="M44" s="45">
        <f t="shared" si="12"/>
        <v>0</v>
      </c>
      <c r="N44" s="33">
        <f t="shared" si="13"/>
        <v>0</v>
      </c>
      <c r="O44" s="11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14"/>
      <c r="B45" s="42">
        <f t="shared" si="14"/>
        <v>0</v>
      </c>
      <c r="C45" s="43">
        <v>1.0</v>
      </c>
      <c r="D45" s="43" t="b">
        <v>0</v>
      </c>
      <c r="E45" s="3"/>
      <c r="F45" s="1"/>
      <c r="G45" s="3"/>
      <c r="H45" s="3"/>
      <c r="I45" s="3">
        <f t="shared" si="9"/>
        <v>0</v>
      </c>
      <c r="J45" s="3"/>
      <c r="K45" s="44">
        <f t="shared" si="10"/>
        <v>0</v>
      </c>
      <c r="L45" s="44">
        <f t="shared" si="11"/>
        <v>0</v>
      </c>
      <c r="M45" s="45">
        <f t="shared" si="12"/>
        <v>0</v>
      </c>
      <c r="N45" s="33">
        <f t="shared" si="13"/>
        <v>0</v>
      </c>
      <c r="O45" s="11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14"/>
      <c r="B46" s="42">
        <f t="shared" si="14"/>
        <v>0</v>
      </c>
      <c r="C46" s="43">
        <v>1.0</v>
      </c>
      <c r="D46" s="43" t="b">
        <v>0</v>
      </c>
      <c r="E46" s="3"/>
      <c r="F46" s="1"/>
      <c r="G46" s="3"/>
      <c r="H46" s="3"/>
      <c r="I46" s="3">
        <f t="shared" si="9"/>
        <v>0</v>
      </c>
      <c r="J46" s="3"/>
      <c r="K46" s="44">
        <f t="shared" si="10"/>
        <v>0</v>
      </c>
      <c r="L46" s="44">
        <f t="shared" si="11"/>
        <v>0</v>
      </c>
      <c r="M46" s="45">
        <f t="shared" si="12"/>
        <v>0</v>
      </c>
      <c r="N46" s="33">
        <f t="shared" si="13"/>
        <v>0</v>
      </c>
      <c r="O46" s="11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14"/>
      <c r="B47" s="42">
        <f t="shared" si="14"/>
        <v>0</v>
      </c>
      <c r="C47" s="54">
        <v>1.0</v>
      </c>
      <c r="D47" s="54"/>
      <c r="E47" s="55"/>
      <c r="F47" s="56"/>
      <c r="G47" s="55"/>
      <c r="H47" s="55"/>
      <c r="I47" s="55">
        <f t="shared" si="9"/>
        <v>0</v>
      </c>
      <c r="J47" s="55"/>
      <c r="K47" s="57">
        <f t="shared" si="10"/>
        <v>0</v>
      </c>
      <c r="L47" s="57">
        <f t="shared" si="11"/>
        <v>0</v>
      </c>
      <c r="M47" s="58">
        <f t="shared" si="12"/>
        <v>0</v>
      </c>
      <c r="N47" s="59">
        <f t="shared" si="13"/>
        <v>0</v>
      </c>
      <c r="O47" s="1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75" customHeight="1">
      <c r="A48" s="114"/>
      <c r="B48" s="61" t="s">
        <v>32</v>
      </c>
      <c r="C48" s="62"/>
      <c r="D48" s="63"/>
      <c r="E48" s="64">
        <f>SUM(IF(B40,1,0),IF(B41,1,0),IF(B42,1,0),IF(B43,1,0),IF(B44,1,0),IF(B45,1,0),IF(B46,1,0),IF(B47,1,0))</f>
        <v>1</v>
      </c>
      <c r="F48" s="65"/>
      <c r="G48" s="66">
        <f>SUM(G40:H47)</f>
        <v>12</v>
      </c>
      <c r="H48" s="51"/>
      <c r="I48" s="122"/>
      <c r="J48" s="123">
        <f>SUMIF(I40:I47,"&gt;=3",J40:J47)</f>
        <v>114</v>
      </c>
      <c r="K48" s="69">
        <f t="shared" ref="K48:M48" si="15">SUM(K40:K47)</f>
        <v>3.6</v>
      </c>
      <c r="L48" s="70">
        <f t="shared" si="15"/>
        <v>14.4</v>
      </c>
      <c r="M48" s="71">
        <f t="shared" si="15"/>
        <v>18.24</v>
      </c>
      <c r="N48" s="72">
        <f t="shared" si="13"/>
        <v>36.24</v>
      </c>
      <c r="O48" s="1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14"/>
      <c r="B49" s="73" t="s">
        <v>33</v>
      </c>
      <c r="C49" s="50"/>
      <c r="D49" s="74"/>
      <c r="E49" s="75">
        <f>IF(E48 =1,0.9,IF(E48 =2,0.9,IF(E48 = 3,1.1,IF(E48 &gt;= 4,1.9,0))))</f>
        <v>0.9</v>
      </c>
      <c r="F49" s="76"/>
      <c r="G49" s="3"/>
      <c r="H49" s="3"/>
      <c r="I49" s="3"/>
      <c r="J49" s="1"/>
      <c r="K49" s="77"/>
      <c r="L49" s="77"/>
      <c r="M49" s="1"/>
      <c r="N49" s="78"/>
      <c r="O49" s="1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14"/>
      <c r="B50" s="1"/>
      <c r="C50" s="1"/>
      <c r="D50" s="1"/>
      <c r="E50" s="3"/>
      <c r="F50" s="1"/>
      <c r="G50" s="1"/>
      <c r="H50" s="1"/>
      <c r="I50" s="1"/>
      <c r="J50" s="1"/>
      <c r="K50" s="1"/>
      <c r="L50" s="1"/>
      <c r="M50" s="1"/>
      <c r="N50" s="1"/>
      <c r="O50" s="1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14"/>
      <c r="B51" s="26" t="s">
        <v>34</v>
      </c>
      <c r="C51" s="9"/>
      <c r="D51" s="9"/>
      <c r="E51" s="10"/>
      <c r="F51" s="79" t="s">
        <v>35</v>
      </c>
      <c r="G51" s="26" t="s">
        <v>36</v>
      </c>
      <c r="H51" s="10"/>
      <c r="I51" s="27"/>
      <c r="J51" s="1"/>
      <c r="K51" s="80" t="str">
        <f>CONCATENATE(Formules!A12,Plafond_PES)</f>
        <v>Bonification PES &gt; 415</v>
      </c>
      <c r="L51" s="81"/>
      <c r="M51" s="82">
        <f>IF(((SUM(G40:H40)*J40+SUM(G41:H41)*J41+SUM(G42:H42)*J42+SUM(G43:H43)*J43+SUM(G44:H44)*J44+SUM(G45:H45)*J45+SUM(G46:H46)*J46+SUM(G47:H47)*J47)-Plafond_PES)*0.04&lt;0,0,((SUM(G40:H40)*J40+SUM(G41:H41)*J41+SUM(G42:H42)*J42+SUM(G43:H43)*J43+SUM(G44:H44)*J44+SUM(G45:H45)*J45+SUM(G46:H46)*J46+SUM(G47:H47)*J47)-Plafond_PES)*0.04)</f>
        <v>1.64</v>
      </c>
      <c r="N51" s="1"/>
      <c r="O51" s="11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14"/>
      <c r="B52" s="83"/>
      <c r="C52" s="84"/>
      <c r="D52" s="84"/>
      <c r="E52" s="84"/>
      <c r="F52" s="85"/>
      <c r="G52" s="86"/>
      <c r="H52" s="87"/>
      <c r="I52" s="88"/>
      <c r="J52" s="1"/>
      <c r="K52" s="89" t="s">
        <v>38</v>
      </c>
      <c r="L52" s="90">
        <f>IF((J48-160)&lt;1,0,J48-160)</f>
        <v>0</v>
      </c>
      <c r="M52" s="91">
        <f>(L52^2)*0.1</f>
        <v>0</v>
      </c>
      <c r="N52" s="1"/>
      <c r="O52" s="1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14"/>
      <c r="B53" s="92"/>
      <c r="C53" s="93"/>
      <c r="D53" s="93"/>
      <c r="E53" s="93"/>
      <c r="F53" s="94"/>
      <c r="G53" s="95"/>
      <c r="H53" s="96"/>
      <c r="I53" s="88"/>
      <c r="J53" s="1"/>
      <c r="K53" s="89" t="s">
        <v>45</v>
      </c>
      <c r="L53" s="90">
        <f>IF(J48&lt;75,0,J48)</f>
        <v>114</v>
      </c>
      <c r="M53" s="98">
        <f>L53*0.01</f>
        <v>1.14</v>
      </c>
      <c r="N53" s="1"/>
      <c r="O53" s="11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14"/>
      <c r="B54" s="92"/>
      <c r="C54" s="93"/>
      <c r="D54" s="93"/>
      <c r="E54" s="93"/>
      <c r="F54" s="94"/>
      <c r="G54" s="95"/>
      <c r="H54" s="96"/>
      <c r="I54" s="88"/>
      <c r="J54" s="1"/>
      <c r="K54" s="99" t="s">
        <v>40</v>
      </c>
      <c r="L54" s="100"/>
      <c r="M54" s="101">
        <f>F58*80+G58*40</f>
        <v>0</v>
      </c>
      <c r="N54" s="1"/>
      <c r="O54" s="11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14"/>
      <c r="B55" s="92"/>
      <c r="C55" s="93"/>
      <c r="D55" s="93"/>
      <c r="E55" s="93"/>
      <c r="F55" s="94"/>
      <c r="G55" s="95"/>
      <c r="H55" s="96"/>
      <c r="I55" s="88"/>
      <c r="J55" s="1"/>
      <c r="K55" s="102" t="s">
        <v>46</v>
      </c>
      <c r="L55" s="74"/>
      <c r="M55" s="103">
        <f>SUM(M51:M54,N48)</f>
        <v>39.02</v>
      </c>
      <c r="N55" s="1"/>
      <c r="O55" s="11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14"/>
      <c r="B56" s="92"/>
      <c r="C56" s="93"/>
      <c r="D56" s="93"/>
      <c r="E56" s="93"/>
      <c r="F56" s="94"/>
      <c r="G56" s="95"/>
      <c r="H56" s="96"/>
      <c r="I56" s="88"/>
      <c r="J56" s="1"/>
      <c r="K56" s="104" t="s">
        <v>47</v>
      </c>
      <c r="L56" s="105"/>
      <c r="M56" s="106">
        <f>IF(M55/80&gt;0.45,0.5,M55/80)</f>
        <v>0.5</v>
      </c>
      <c r="N56" s="1"/>
      <c r="O56" s="11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14"/>
      <c r="B57" s="107"/>
      <c r="C57" s="108"/>
      <c r="D57" s="108"/>
      <c r="E57" s="108"/>
      <c r="F57" s="55"/>
      <c r="G57" s="109"/>
      <c r="H57" s="110"/>
      <c r="I57" s="88"/>
      <c r="J57" s="1"/>
      <c r="K57" s="1"/>
      <c r="L57" s="1"/>
      <c r="M57" s="1"/>
      <c r="N57" s="1"/>
      <c r="O57" s="11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14"/>
      <c r="B58" s="1"/>
      <c r="C58" s="1"/>
      <c r="D58" s="1"/>
      <c r="E58" s="3"/>
      <c r="F58" s="111">
        <f>SUM(F52:F57)</f>
        <v>0</v>
      </c>
      <c r="G58" s="112">
        <f>SUM(G52:H57)</f>
        <v>0</v>
      </c>
      <c r="H58" s="10"/>
      <c r="I58" s="113"/>
      <c r="J58" s="1"/>
      <c r="K58" s="1"/>
      <c r="L58" s="1"/>
      <c r="M58" s="1"/>
      <c r="N58" s="1"/>
      <c r="O58" s="11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14"/>
      <c r="B59" s="1"/>
      <c r="C59" s="1"/>
      <c r="D59" s="1"/>
      <c r="E59" s="3"/>
      <c r="F59" s="1"/>
      <c r="G59" s="1"/>
      <c r="H59" s="1"/>
      <c r="I59" s="1"/>
      <c r="J59" s="1"/>
      <c r="K59" s="1"/>
      <c r="L59" s="1"/>
      <c r="M59" s="1"/>
      <c r="N59" s="1"/>
      <c r="O59" s="11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6.75" customHeight="1">
      <c r="A60" s="114"/>
      <c r="B60" s="115"/>
      <c r="C60" s="115"/>
      <c r="D60" s="115"/>
      <c r="E60" s="116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B1:N1"/>
    <mergeCell ref="G3:J3"/>
    <mergeCell ref="G10:H10"/>
    <mergeCell ref="Q13:U14"/>
    <mergeCell ref="Q15:U15"/>
    <mergeCell ref="B21:D21"/>
    <mergeCell ref="G21:H21"/>
    <mergeCell ref="B28:E28"/>
    <mergeCell ref="G28:H28"/>
    <mergeCell ref="K28:L28"/>
    <mergeCell ref="B29:E29"/>
    <mergeCell ref="G29:H29"/>
    <mergeCell ref="K29:L29"/>
    <mergeCell ref="B30:E30"/>
    <mergeCell ref="G30:H30"/>
    <mergeCell ref="B22:D22"/>
    <mergeCell ref="B24:E24"/>
    <mergeCell ref="G24:H24"/>
    <mergeCell ref="B25:E25"/>
    <mergeCell ref="G25:H25"/>
    <mergeCell ref="B26:E26"/>
    <mergeCell ref="B27:E27"/>
    <mergeCell ref="G26:H26"/>
    <mergeCell ref="G27:H27"/>
    <mergeCell ref="G31:H31"/>
    <mergeCell ref="G37:H37"/>
    <mergeCell ref="B48:D48"/>
    <mergeCell ref="G48:H48"/>
    <mergeCell ref="B49:D49"/>
    <mergeCell ref="B51:E51"/>
    <mergeCell ref="G51:H51"/>
    <mergeCell ref="B52:E52"/>
    <mergeCell ref="G52:H52"/>
    <mergeCell ref="B53:E53"/>
    <mergeCell ref="G53:H53"/>
    <mergeCell ref="G54:H54"/>
    <mergeCell ref="G56:H56"/>
    <mergeCell ref="G57:H57"/>
    <mergeCell ref="G58:H58"/>
    <mergeCell ref="B54:E54"/>
    <mergeCell ref="B55:E55"/>
    <mergeCell ref="G55:H55"/>
    <mergeCell ref="K55:L55"/>
    <mergeCell ref="B56:E56"/>
    <mergeCell ref="K56:L56"/>
    <mergeCell ref="B57:E57"/>
  </mergeCells>
  <conditionalFormatting sqref="J13:M20">
    <cfRule type="cellIs" dxfId="0" priority="1" operator="between">
      <formula>0.01</formula>
      <formula>100</formula>
    </cfRule>
  </conditionalFormatting>
  <conditionalFormatting sqref="F21:I21 K21:M21">
    <cfRule type="cellIs" dxfId="1" priority="2" operator="between">
      <formula>0.01</formula>
      <formula>400</formula>
    </cfRule>
  </conditionalFormatting>
  <conditionalFormatting sqref="L40:M47 J40:J47">
    <cfRule type="cellIs" dxfId="0" priority="3" operator="between">
      <formula>0.01</formula>
      <formula>100</formula>
    </cfRule>
  </conditionalFormatting>
  <conditionalFormatting sqref="F48:I48 K48:M48">
    <cfRule type="cellIs" dxfId="1" priority="4" operator="between">
      <formula>0.01</formula>
      <formula>400</formula>
    </cfRule>
  </conditionalFormatting>
  <conditionalFormatting sqref="K40:K47">
    <cfRule type="cellIs" dxfId="0" priority="5" operator="between">
      <formula>0.01</formula>
      <formula>100</formula>
    </cfRule>
  </conditionalFormatting>
  <conditionalFormatting sqref="N13:N21">
    <cfRule type="cellIs" dxfId="0" priority="6" operator="between">
      <formula>0.01</formula>
      <formula>100</formula>
    </cfRule>
  </conditionalFormatting>
  <conditionalFormatting sqref="N40:N48">
    <cfRule type="cellIs" dxfId="0" priority="7" operator="between">
      <formula>0.01</formula>
      <formula>100</formula>
    </cfRule>
  </conditionalFormatting>
  <conditionalFormatting sqref="J48">
    <cfRule type="cellIs" dxfId="1" priority="8" operator="between">
      <formula>0.01</formula>
      <formula>400</formula>
    </cfRule>
  </conditionalFormatting>
  <conditionalFormatting sqref="B13:B20">
    <cfRule type="cellIs" dxfId="1" priority="9" operator="greaterThan">
      <formula>0</formula>
    </cfRule>
  </conditionalFormatting>
  <conditionalFormatting sqref="J21">
    <cfRule type="cellIs" dxfId="1" priority="10" operator="between">
      <formula>0.01</formula>
      <formula>400</formula>
    </cfRule>
  </conditionalFormatting>
  <conditionalFormatting sqref="B40:B47">
    <cfRule type="cellIs" dxfId="1" priority="11" operator="greaterThan">
      <formula>0</formula>
    </cfRule>
  </conditionalFormatting>
  <conditionalFormatting sqref="N12">
    <cfRule type="cellIs" dxfId="0" priority="12" operator="between">
      <formula>0.01</formula>
      <formula>100</formula>
    </cfRule>
  </conditionalFormatting>
  <hyperlinks>
    <hyperlink r:id="rId2" ref="Q15"/>
  </hyperlinks>
  <printOptions/>
  <pageMargins bottom="0.7480314960629921" footer="0.0" header="0.0" left="0.7086614173228347" right="0.7086614173228347" top="0.7480314960629921"/>
  <pageSetup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38"/>
    <col customWidth="1" min="2" max="26" width="9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3" t="s">
        <v>49</v>
      </c>
      <c r="B5" s="124">
        <f>TODAY()</f>
        <v>44300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3"/>
      <c r="B6" s="12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3">
        <f>A8-1</f>
        <v>2020</v>
      </c>
      <c r="B7" s="4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3">
        <f>YEAR(B5)</f>
        <v>2021</v>
      </c>
      <c r="B8" s="4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3">
        <f>A8+1</f>
        <v>2022</v>
      </c>
      <c r="B9" s="4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50</v>
      </c>
      <c r="B11" s="1">
        <v>415.0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3" t="s">
        <v>51</v>
      </c>
      <c r="B12" s="43"/>
      <c r="C12" s="4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3"/>
      <c r="B13" s="43"/>
      <c r="C13" s="4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3" t="s">
        <v>12</v>
      </c>
      <c r="B14" s="43"/>
      <c r="C14" s="4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3"/>
      <c r="B15" s="43"/>
      <c r="C15" s="4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3" t="s">
        <v>43</v>
      </c>
      <c r="B16" s="43"/>
      <c r="C16" s="4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3" t="s">
        <v>52</v>
      </c>
      <c r="B17" s="43"/>
      <c r="C17" s="4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43" t="s">
        <v>53</v>
      </c>
      <c r="B18" s="43"/>
      <c r="C18" s="4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43" t="s">
        <v>54</v>
      </c>
      <c r="B19" s="43"/>
      <c r="C19" s="4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3"/>
      <c r="B20" s="43"/>
      <c r="C20" s="4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0"/>
    <col customWidth="1" min="2" max="2" width="12.13"/>
    <col customWidth="1" min="3" max="3" width="15.0"/>
    <col customWidth="1" min="4" max="4" width="15.13"/>
    <col customWidth="1" min="5" max="5" width="13.75"/>
    <col customWidth="1" min="6" max="6" width="30.75"/>
    <col customWidth="1" min="7" max="7" width="6.88"/>
    <col customWidth="1" min="8" max="8" width="9.75"/>
    <col customWidth="1" hidden="1" min="9" max="9" width="3.5"/>
    <col customWidth="1" min="10" max="10" width="15.13"/>
    <col customWidth="1" min="11" max="11" width="13.88"/>
    <col customWidth="1" min="12" max="12" width="9.88"/>
    <col customWidth="1" min="13" max="13" width="10.63"/>
    <col customWidth="1" min="14" max="14" width="11.13"/>
    <col customWidth="1" min="15" max="15" width="7.63"/>
    <col customWidth="1" min="16" max="16" width="1.0"/>
    <col customWidth="1" min="17" max="26" width="9.88"/>
  </cols>
  <sheetData>
    <row r="1">
      <c r="A1" s="1"/>
      <c r="B1" s="2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4" t="s">
        <v>1</v>
      </c>
      <c r="N2" s="5" t="s">
        <v>2</v>
      </c>
      <c r="O2" s="6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3"/>
      <c r="F3" s="7" t="s">
        <v>4</v>
      </c>
      <c r="G3" s="8"/>
      <c r="H3" s="9"/>
      <c r="I3" s="9"/>
      <c r="J3" s="10"/>
      <c r="K3" s="125"/>
      <c r="L3" s="1"/>
      <c r="M3" s="11" t="s">
        <v>6</v>
      </c>
      <c r="N3" s="12">
        <f>N42</f>
        <v>0</v>
      </c>
      <c r="O3" s="13">
        <f>N43</f>
        <v>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3"/>
      <c r="F4" s="1"/>
      <c r="G4" s="1"/>
      <c r="H4" s="1"/>
      <c r="I4" s="1"/>
      <c r="J4" s="1"/>
      <c r="K4" s="1"/>
      <c r="L4" s="1"/>
      <c r="M4" s="14" t="s">
        <v>7</v>
      </c>
      <c r="N4" s="15">
        <f>N90</f>
        <v>0</v>
      </c>
      <c r="O4" s="16">
        <f>N91</f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26" t="s">
        <v>8</v>
      </c>
      <c r="C5" s="17"/>
      <c r="D5" s="17"/>
      <c r="E5" s="127" t="s">
        <v>55</v>
      </c>
      <c r="F5" s="128"/>
      <c r="G5" s="1"/>
      <c r="H5" s="129" t="s">
        <v>56</v>
      </c>
      <c r="L5" s="1"/>
      <c r="M5" s="18" t="s">
        <v>9</v>
      </c>
      <c r="N5" s="19">
        <f t="shared" ref="N5:O5" si="1">SUM(N3:N4)</f>
        <v>0</v>
      </c>
      <c r="O5" s="20">
        <f t="shared" si="1"/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26" t="str">
        <f>Formules!A2</f>
        <v>Version : 15 sept 2019</v>
      </c>
      <c r="C6" s="17"/>
      <c r="D6" s="17"/>
      <c r="E6" s="130"/>
      <c r="F6" s="131"/>
      <c r="G6" s="43" t="b">
        <v>0</v>
      </c>
      <c r="H6" s="129" t="s">
        <v>57</v>
      </c>
      <c r="K6" s="129">
        <v>2.0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1"/>
      <c r="C7" s="21"/>
      <c r="D7" s="21"/>
      <c r="E7" s="76"/>
      <c r="F7" s="7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6.75" customHeight="1">
      <c r="A8" s="22"/>
      <c r="B8" s="23"/>
      <c r="C8" s="23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2"/>
      <c r="B9" s="25" t="s">
        <v>6</v>
      </c>
      <c r="C9" s="25"/>
      <c r="D9" s="25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22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2"/>
      <c r="B10" s="1"/>
      <c r="C10" s="1"/>
      <c r="D10" s="1"/>
      <c r="E10" s="3"/>
      <c r="F10" s="1"/>
      <c r="G10" s="26" t="s">
        <v>10</v>
      </c>
      <c r="H10" s="10"/>
      <c r="I10" s="27"/>
      <c r="J10" s="1"/>
      <c r="K10" s="1"/>
      <c r="L10" s="1"/>
      <c r="M10" s="1"/>
      <c r="N10" s="1"/>
      <c r="O10" s="1"/>
      <c r="P10" s="2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2"/>
      <c r="B11" s="28" t="s">
        <v>11</v>
      </c>
      <c r="C11" s="28" t="s">
        <v>12</v>
      </c>
      <c r="D11" s="28" t="s">
        <v>13</v>
      </c>
      <c r="E11" s="28" t="s">
        <v>14</v>
      </c>
      <c r="F11" s="28" t="s">
        <v>15</v>
      </c>
      <c r="G11" s="28" t="s">
        <v>16</v>
      </c>
      <c r="H11" s="28" t="s">
        <v>17</v>
      </c>
      <c r="I11" s="28"/>
      <c r="J11" s="28" t="s">
        <v>18</v>
      </c>
      <c r="K11" s="28" t="s">
        <v>58</v>
      </c>
      <c r="L11" s="28" t="s">
        <v>19</v>
      </c>
      <c r="M11" s="28" t="s">
        <v>20</v>
      </c>
      <c r="N11" s="28" t="s">
        <v>21</v>
      </c>
      <c r="O11" s="28" t="s">
        <v>2</v>
      </c>
      <c r="P11" s="2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2"/>
      <c r="B12" s="29"/>
      <c r="C12" s="30"/>
      <c r="D12" s="30"/>
      <c r="E12" s="31"/>
      <c r="F12" s="30"/>
      <c r="G12" s="30"/>
      <c r="H12" s="30"/>
      <c r="I12" s="30"/>
      <c r="J12" s="30"/>
      <c r="K12" s="81"/>
      <c r="L12" s="32">
        <f>E34</f>
        <v>0</v>
      </c>
      <c r="M12" s="32" t="s">
        <v>22</v>
      </c>
      <c r="N12" s="32" t="s">
        <v>23</v>
      </c>
      <c r="O12" s="82"/>
      <c r="P12" s="2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2"/>
      <c r="B13" s="34">
        <f>IF(ISBLANK(E13),0,1)</f>
        <v>0</v>
      </c>
      <c r="C13" s="35">
        <v>1.0</v>
      </c>
      <c r="D13" s="35" t="b">
        <v>0</v>
      </c>
      <c r="E13" s="31"/>
      <c r="F13" s="132"/>
      <c r="G13" s="31"/>
      <c r="H13" s="31"/>
      <c r="I13" s="31">
        <f t="shared" ref="I13:I32" si="2">SUM(G13:H13)</f>
        <v>0</v>
      </c>
      <c r="J13" s="31"/>
      <c r="K13" s="32">
        <f t="shared" ref="K13:K32" si="3">IF($G$6=TRUE,0,IF(OR(C13=3,C13=4),J13,0))</f>
        <v>0</v>
      </c>
      <c r="L13" s="36">
        <f t="shared" ref="L13:L32" si="4">IF(B13=TRUE,$E$34*SUM(G13:H13)*B13,$E$34*SUM(G13:H13)*D13)</f>
        <v>0</v>
      </c>
      <c r="M13" s="36">
        <f t="shared" ref="M13:M32" si="5">SUM(G13:H13)*1.2</f>
        <v>0</v>
      </c>
      <c r="N13" s="37">
        <f t="shared" ref="N13:N32" si="6">SUM(G13:H13)*J13*0.04</f>
        <v>0</v>
      </c>
      <c r="O13" s="38">
        <f t="shared" ref="O13:O33" si="7">SUM(L13:N13)</f>
        <v>0</v>
      </c>
      <c r="P13" s="2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2"/>
      <c r="B14" s="42">
        <f>IF(ISBLANK(E14),0,IF(COUNTIF(E13,E14)&gt;=1,0,1))</f>
        <v>0</v>
      </c>
      <c r="C14" s="43">
        <v>1.0</v>
      </c>
      <c r="D14" s="43" t="b">
        <v>0</v>
      </c>
      <c r="E14" s="3"/>
      <c r="F14" s="1"/>
      <c r="G14" s="3"/>
      <c r="H14" s="3"/>
      <c r="I14" s="3">
        <f t="shared" si="2"/>
        <v>0</v>
      </c>
      <c r="J14" s="3"/>
      <c r="K14" s="90">
        <f t="shared" si="3"/>
        <v>0</v>
      </c>
      <c r="L14" s="44">
        <f t="shared" si="4"/>
        <v>0</v>
      </c>
      <c r="M14" s="44">
        <f t="shared" si="5"/>
        <v>0</v>
      </c>
      <c r="N14" s="45">
        <f t="shared" si="6"/>
        <v>0</v>
      </c>
      <c r="O14" s="33">
        <f t="shared" si="7"/>
        <v>0</v>
      </c>
      <c r="P14" s="2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2"/>
      <c r="B15" s="42">
        <f t="shared" ref="B15:B32" si="8">IF(ISBLANK($E15),0,IF(COUNTIF($E$13:$E14,E15)&gt;=1,0,1))</f>
        <v>0</v>
      </c>
      <c r="C15" s="43">
        <v>1.0</v>
      </c>
      <c r="D15" s="43" t="b">
        <v>0</v>
      </c>
      <c r="E15" s="3"/>
      <c r="F15" s="1"/>
      <c r="G15" s="3"/>
      <c r="H15" s="3"/>
      <c r="I15" s="3">
        <f t="shared" si="2"/>
        <v>0</v>
      </c>
      <c r="J15" s="3"/>
      <c r="K15" s="90">
        <f t="shared" si="3"/>
        <v>0</v>
      </c>
      <c r="L15" s="44">
        <f t="shared" si="4"/>
        <v>0</v>
      </c>
      <c r="M15" s="44">
        <f t="shared" si="5"/>
        <v>0</v>
      </c>
      <c r="N15" s="45">
        <f t="shared" si="6"/>
        <v>0</v>
      </c>
      <c r="O15" s="33">
        <f t="shared" si="7"/>
        <v>0</v>
      </c>
      <c r="P15" s="2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2"/>
      <c r="B16" s="42">
        <f t="shared" si="8"/>
        <v>0</v>
      </c>
      <c r="C16" s="43">
        <v>1.0</v>
      </c>
      <c r="D16" s="43" t="b">
        <v>0</v>
      </c>
      <c r="E16" s="3"/>
      <c r="F16" s="1"/>
      <c r="G16" s="3"/>
      <c r="H16" s="3"/>
      <c r="I16" s="3">
        <f t="shared" si="2"/>
        <v>0</v>
      </c>
      <c r="J16" s="3"/>
      <c r="K16" s="90">
        <f t="shared" si="3"/>
        <v>0</v>
      </c>
      <c r="L16" s="44">
        <f t="shared" si="4"/>
        <v>0</v>
      </c>
      <c r="M16" s="44">
        <f t="shared" si="5"/>
        <v>0</v>
      </c>
      <c r="N16" s="45">
        <f t="shared" si="6"/>
        <v>0</v>
      </c>
      <c r="O16" s="33">
        <f t="shared" si="7"/>
        <v>0</v>
      </c>
      <c r="P16" s="2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2"/>
      <c r="B17" s="42">
        <f t="shared" si="8"/>
        <v>0</v>
      </c>
      <c r="C17" s="43">
        <v>1.0</v>
      </c>
      <c r="D17" s="43" t="b">
        <v>0</v>
      </c>
      <c r="E17" s="3"/>
      <c r="F17" s="1"/>
      <c r="G17" s="3"/>
      <c r="H17" s="3"/>
      <c r="I17" s="3">
        <f t="shared" si="2"/>
        <v>0</v>
      </c>
      <c r="J17" s="3"/>
      <c r="K17" s="90">
        <f t="shared" si="3"/>
        <v>0</v>
      </c>
      <c r="L17" s="44">
        <f t="shared" si="4"/>
        <v>0</v>
      </c>
      <c r="M17" s="44">
        <f t="shared" si="5"/>
        <v>0</v>
      </c>
      <c r="N17" s="45">
        <f t="shared" si="6"/>
        <v>0</v>
      </c>
      <c r="O17" s="33">
        <f t="shared" si="7"/>
        <v>0</v>
      </c>
      <c r="P17" s="2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2"/>
      <c r="B18" s="42">
        <f t="shared" si="8"/>
        <v>0</v>
      </c>
      <c r="C18" s="43">
        <v>1.0</v>
      </c>
      <c r="D18" s="43" t="b">
        <v>0</v>
      </c>
      <c r="E18" s="3"/>
      <c r="F18" s="1"/>
      <c r="G18" s="3"/>
      <c r="H18" s="3"/>
      <c r="I18" s="3">
        <f t="shared" si="2"/>
        <v>0</v>
      </c>
      <c r="J18" s="3"/>
      <c r="K18" s="90">
        <f t="shared" si="3"/>
        <v>0</v>
      </c>
      <c r="L18" s="44">
        <f t="shared" si="4"/>
        <v>0</v>
      </c>
      <c r="M18" s="44">
        <f t="shared" si="5"/>
        <v>0</v>
      </c>
      <c r="N18" s="45">
        <f t="shared" si="6"/>
        <v>0</v>
      </c>
      <c r="O18" s="33">
        <f t="shared" si="7"/>
        <v>0</v>
      </c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2"/>
      <c r="B19" s="42">
        <f t="shared" si="8"/>
        <v>0</v>
      </c>
      <c r="C19" s="43">
        <v>1.0</v>
      </c>
      <c r="D19" s="43" t="b">
        <v>0</v>
      </c>
      <c r="E19" s="3"/>
      <c r="F19" s="1"/>
      <c r="G19" s="3"/>
      <c r="H19" s="3"/>
      <c r="I19" s="3">
        <f t="shared" si="2"/>
        <v>0</v>
      </c>
      <c r="J19" s="3"/>
      <c r="K19" s="90">
        <f t="shared" si="3"/>
        <v>0</v>
      </c>
      <c r="L19" s="44">
        <f t="shared" si="4"/>
        <v>0</v>
      </c>
      <c r="M19" s="44">
        <f t="shared" si="5"/>
        <v>0</v>
      </c>
      <c r="N19" s="45">
        <f t="shared" si="6"/>
        <v>0</v>
      </c>
      <c r="O19" s="33">
        <f t="shared" si="7"/>
        <v>0</v>
      </c>
      <c r="P19" s="2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2"/>
      <c r="B20" s="42">
        <f t="shared" si="8"/>
        <v>0</v>
      </c>
      <c r="C20" s="43">
        <v>1.0</v>
      </c>
      <c r="D20" s="43" t="b">
        <v>0</v>
      </c>
      <c r="E20" s="3"/>
      <c r="F20" s="1"/>
      <c r="G20" s="3"/>
      <c r="H20" s="3"/>
      <c r="I20" s="3">
        <f t="shared" si="2"/>
        <v>0</v>
      </c>
      <c r="J20" s="3"/>
      <c r="K20" s="90">
        <f t="shared" si="3"/>
        <v>0</v>
      </c>
      <c r="L20" s="44">
        <f t="shared" si="4"/>
        <v>0</v>
      </c>
      <c r="M20" s="44">
        <f t="shared" si="5"/>
        <v>0</v>
      </c>
      <c r="N20" s="45">
        <f t="shared" si="6"/>
        <v>0</v>
      </c>
      <c r="O20" s="33">
        <f t="shared" si="7"/>
        <v>0</v>
      </c>
      <c r="P20" s="22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2"/>
      <c r="B21" s="42">
        <f t="shared" si="8"/>
        <v>0</v>
      </c>
      <c r="C21" s="43">
        <v>1.0</v>
      </c>
      <c r="D21" s="43" t="b">
        <v>0</v>
      </c>
      <c r="E21" s="3"/>
      <c r="F21" s="1"/>
      <c r="G21" s="3"/>
      <c r="H21" s="3"/>
      <c r="I21" s="3">
        <f t="shared" si="2"/>
        <v>0</v>
      </c>
      <c r="J21" s="3"/>
      <c r="K21" s="90">
        <f t="shared" si="3"/>
        <v>0</v>
      </c>
      <c r="L21" s="44">
        <f t="shared" si="4"/>
        <v>0</v>
      </c>
      <c r="M21" s="44">
        <f t="shared" si="5"/>
        <v>0</v>
      </c>
      <c r="N21" s="45">
        <f t="shared" si="6"/>
        <v>0</v>
      </c>
      <c r="O21" s="33">
        <f t="shared" si="7"/>
        <v>0</v>
      </c>
      <c r="P21" s="22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2"/>
      <c r="B22" s="42">
        <f t="shared" si="8"/>
        <v>0</v>
      </c>
      <c r="C22" s="43">
        <v>1.0</v>
      </c>
      <c r="D22" s="43" t="b">
        <v>0</v>
      </c>
      <c r="E22" s="3"/>
      <c r="F22" s="1"/>
      <c r="G22" s="3"/>
      <c r="H22" s="3"/>
      <c r="I22" s="3">
        <f t="shared" si="2"/>
        <v>0</v>
      </c>
      <c r="J22" s="3"/>
      <c r="K22" s="90">
        <f t="shared" si="3"/>
        <v>0</v>
      </c>
      <c r="L22" s="44">
        <f t="shared" si="4"/>
        <v>0</v>
      </c>
      <c r="M22" s="44">
        <f t="shared" si="5"/>
        <v>0</v>
      </c>
      <c r="N22" s="45">
        <f t="shared" si="6"/>
        <v>0</v>
      </c>
      <c r="O22" s="33">
        <f t="shared" si="7"/>
        <v>0</v>
      </c>
      <c r="P22" s="22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2"/>
      <c r="B23" s="42">
        <f t="shared" si="8"/>
        <v>0</v>
      </c>
      <c r="C23" s="43">
        <v>1.0</v>
      </c>
      <c r="D23" s="43" t="b">
        <v>0</v>
      </c>
      <c r="E23" s="3"/>
      <c r="F23" s="1"/>
      <c r="G23" s="3"/>
      <c r="H23" s="3"/>
      <c r="I23" s="3">
        <f t="shared" si="2"/>
        <v>0</v>
      </c>
      <c r="J23" s="3"/>
      <c r="K23" s="90">
        <f t="shared" si="3"/>
        <v>0</v>
      </c>
      <c r="L23" s="44">
        <f t="shared" si="4"/>
        <v>0</v>
      </c>
      <c r="M23" s="44">
        <f t="shared" si="5"/>
        <v>0</v>
      </c>
      <c r="N23" s="45">
        <f t="shared" si="6"/>
        <v>0</v>
      </c>
      <c r="O23" s="33">
        <f t="shared" si="7"/>
        <v>0</v>
      </c>
      <c r="P23" s="22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2"/>
      <c r="B24" s="42">
        <f t="shared" si="8"/>
        <v>0</v>
      </c>
      <c r="C24" s="43">
        <v>1.0</v>
      </c>
      <c r="D24" s="43" t="b">
        <v>0</v>
      </c>
      <c r="E24" s="3"/>
      <c r="F24" s="1"/>
      <c r="G24" s="3"/>
      <c r="H24" s="3"/>
      <c r="I24" s="3">
        <f t="shared" si="2"/>
        <v>0</v>
      </c>
      <c r="J24" s="3"/>
      <c r="K24" s="90">
        <f t="shared" si="3"/>
        <v>0</v>
      </c>
      <c r="L24" s="44">
        <f t="shared" si="4"/>
        <v>0</v>
      </c>
      <c r="M24" s="44">
        <f t="shared" si="5"/>
        <v>0</v>
      </c>
      <c r="N24" s="45">
        <f t="shared" si="6"/>
        <v>0</v>
      </c>
      <c r="O24" s="33">
        <f t="shared" si="7"/>
        <v>0</v>
      </c>
      <c r="P24" s="22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2"/>
      <c r="B25" s="42">
        <f t="shared" si="8"/>
        <v>0</v>
      </c>
      <c r="C25" s="43">
        <v>1.0</v>
      </c>
      <c r="D25" s="43" t="b">
        <v>0</v>
      </c>
      <c r="E25" s="3"/>
      <c r="F25" s="1"/>
      <c r="G25" s="3"/>
      <c r="H25" s="3"/>
      <c r="I25" s="3">
        <f t="shared" si="2"/>
        <v>0</v>
      </c>
      <c r="J25" s="3"/>
      <c r="K25" s="90">
        <f t="shared" si="3"/>
        <v>0</v>
      </c>
      <c r="L25" s="44">
        <f t="shared" si="4"/>
        <v>0</v>
      </c>
      <c r="M25" s="44">
        <f t="shared" si="5"/>
        <v>0</v>
      </c>
      <c r="N25" s="45">
        <f t="shared" si="6"/>
        <v>0</v>
      </c>
      <c r="O25" s="33">
        <f t="shared" si="7"/>
        <v>0</v>
      </c>
      <c r="P25" s="2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2"/>
      <c r="B26" s="42">
        <f t="shared" si="8"/>
        <v>0</v>
      </c>
      <c r="C26" s="43">
        <v>1.0</v>
      </c>
      <c r="D26" s="43" t="b">
        <v>0</v>
      </c>
      <c r="E26" s="3"/>
      <c r="F26" s="1"/>
      <c r="G26" s="3"/>
      <c r="H26" s="3"/>
      <c r="I26" s="3">
        <f t="shared" si="2"/>
        <v>0</v>
      </c>
      <c r="J26" s="3"/>
      <c r="K26" s="90">
        <f t="shared" si="3"/>
        <v>0</v>
      </c>
      <c r="L26" s="44">
        <f t="shared" si="4"/>
        <v>0</v>
      </c>
      <c r="M26" s="44">
        <f t="shared" si="5"/>
        <v>0</v>
      </c>
      <c r="N26" s="45">
        <f t="shared" si="6"/>
        <v>0</v>
      </c>
      <c r="O26" s="33">
        <f t="shared" si="7"/>
        <v>0</v>
      </c>
      <c r="P26" s="22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2"/>
      <c r="B27" s="42">
        <f t="shared" si="8"/>
        <v>0</v>
      </c>
      <c r="C27" s="43">
        <v>1.0</v>
      </c>
      <c r="D27" s="43" t="b">
        <v>0</v>
      </c>
      <c r="E27" s="3"/>
      <c r="F27" s="1"/>
      <c r="G27" s="3"/>
      <c r="H27" s="3"/>
      <c r="I27" s="3">
        <f t="shared" si="2"/>
        <v>0</v>
      </c>
      <c r="J27" s="3"/>
      <c r="K27" s="90">
        <f t="shared" si="3"/>
        <v>0</v>
      </c>
      <c r="L27" s="44">
        <f t="shared" si="4"/>
        <v>0</v>
      </c>
      <c r="M27" s="44">
        <f t="shared" si="5"/>
        <v>0</v>
      </c>
      <c r="N27" s="45">
        <f t="shared" si="6"/>
        <v>0</v>
      </c>
      <c r="O27" s="33">
        <f t="shared" si="7"/>
        <v>0</v>
      </c>
      <c r="P27" s="22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2"/>
      <c r="B28" s="42">
        <f t="shared" si="8"/>
        <v>0</v>
      </c>
      <c r="C28" s="43">
        <v>1.0</v>
      </c>
      <c r="D28" s="43" t="b">
        <v>0</v>
      </c>
      <c r="E28" s="3"/>
      <c r="F28" s="1"/>
      <c r="G28" s="3"/>
      <c r="H28" s="3"/>
      <c r="I28" s="3">
        <f t="shared" si="2"/>
        <v>0</v>
      </c>
      <c r="J28" s="3"/>
      <c r="K28" s="90">
        <f t="shared" si="3"/>
        <v>0</v>
      </c>
      <c r="L28" s="44">
        <f t="shared" si="4"/>
        <v>0</v>
      </c>
      <c r="M28" s="44">
        <f t="shared" si="5"/>
        <v>0</v>
      </c>
      <c r="N28" s="45">
        <f t="shared" si="6"/>
        <v>0</v>
      </c>
      <c r="O28" s="33">
        <f t="shared" si="7"/>
        <v>0</v>
      </c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2"/>
      <c r="B29" s="42">
        <f t="shared" si="8"/>
        <v>0</v>
      </c>
      <c r="C29" s="43">
        <v>1.0</v>
      </c>
      <c r="D29" s="43" t="b">
        <v>0</v>
      </c>
      <c r="E29" s="3"/>
      <c r="F29" s="1"/>
      <c r="G29" s="3"/>
      <c r="H29" s="3"/>
      <c r="I29" s="3">
        <f t="shared" si="2"/>
        <v>0</v>
      </c>
      <c r="J29" s="3"/>
      <c r="K29" s="90">
        <f t="shared" si="3"/>
        <v>0</v>
      </c>
      <c r="L29" s="44">
        <f t="shared" si="4"/>
        <v>0</v>
      </c>
      <c r="M29" s="44">
        <f t="shared" si="5"/>
        <v>0</v>
      </c>
      <c r="N29" s="45">
        <f t="shared" si="6"/>
        <v>0</v>
      </c>
      <c r="O29" s="33">
        <f t="shared" si="7"/>
        <v>0</v>
      </c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2"/>
      <c r="B30" s="42">
        <f t="shared" si="8"/>
        <v>0</v>
      </c>
      <c r="C30" s="43">
        <v>1.0</v>
      </c>
      <c r="D30" s="43" t="b">
        <v>0</v>
      </c>
      <c r="E30" s="3"/>
      <c r="F30" s="1"/>
      <c r="G30" s="3"/>
      <c r="H30" s="3"/>
      <c r="I30" s="3">
        <f t="shared" si="2"/>
        <v>0</v>
      </c>
      <c r="J30" s="3"/>
      <c r="K30" s="90">
        <f t="shared" si="3"/>
        <v>0</v>
      </c>
      <c r="L30" s="44">
        <f t="shared" si="4"/>
        <v>0</v>
      </c>
      <c r="M30" s="44">
        <f t="shared" si="5"/>
        <v>0</v>
      </c>
      <c r="N30" s="45">
        <f t="shared" si="6"/>
        <v>0</v>
      </c>
      <c r="O30" s="33">
        <f t="shared" si="7"/>
        <v>0</v>
      </c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2"/>
      <c r="B31" s="42">
        <f t="shared" si="8"/>
        <v>0</v>
      </c>
      <c r="C31" s="43">
        <v>1.0</v>
      </c>
      <c r="D31" s="43" t="b">
        <v>0</v>
      </c>
      <c r="E31" s="3"/>
      <c r="F31" s="1"/>
      <c r="G31" s="3"/>
      <c r="H31" s="3"/>
      <c r="I31" s="3">
        <f t="shared" si="2"/>
        <v>0</v>
      </c>
      <c r="J31" s="3"/>
      <c r="K31" s="90">
        <f t="shared" si="3"/>
        <v>0</v>
      </c>
      <c r="L31" s="44">
        <f t="shared" si="4"/>
        <v>0</v>
      </c>
      <c r="M31" s="44">
        <f t="shared" si="5"/>
        <v>0</v>
      </c>
      <c r="N31" s="45">
        <f t="shared" si="6"/>
        <v>0</v>
      </c>
      <c r="O31" s="33">
        <f t="shared" si="7"/>
        <v>0</v>
      </c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2"/>
      <c r="B32" s="42">
        <f t="shared" si="8"/>
        <v>0</v>
      </c>
      <c r="C32" s="54">
        <v>1.0</v>
      </c>
      <c r="D32" s="54" t="b">
        <v>0</v>
      </c>
      <c r="E32" s="55"/>
      <c r="F32" s="56"/>
      <c r="G32" s="55"/>
      <c r="H32" s="55"/>
      <c r="I32" s="55">
        <f t="shared" si="2"/>
        <v>0</v>
      </c>
      <c r="J32" s="3"/>
      <c r="K32" s="90">
        <f t="shared" si="3"/>
        <v>0</v>
      </c>
      <c r="L32" s="57">
        <f t="shared" si="4"/>
        <v>0</v>
      </c>
      <c r="M32" s="57">
        <f t="shared" si="5"/>
        <v>0</v>
      </c>
      <c r="N32" s="58">
        <f t="shared" si="6"/>
        <v>0</v>
      </c>
      <c r="O32" s="59">
        <f t="shared" si="7"/>
        <v>0</v>
      </c>
      <c r="P32" s="22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75" customHeight="1">
      <c r="A33" s="22"/>
      <c r="B33" s="61" t="s">
        <v>32</v>
      </c>
      <c r="C33" s="62"/>
      <c r="D33" s="63"/>
      <c r="E33" s="133">
        <f>IF(G6=TRUE,K6,SUM(IF(B13,1,0),IF(B14,1,0),IF(B15,1,0),IF(B16,1,0),IF(B17,1,0),IF(B18,1,0),IF(B19,1,0),IF(B20,1,0),IF(B21,1,0),IF(B22,1,0),IF(B23,1,0),IF(B24,1,0),IF(B25,1,0),IF(B26,1,0),IF(B27,1,0),IF(B28,1,0),IF(B29,1,0),IF(B30,1,0),IF(B31,1,0),IF(B32,1,0)))</f>
        <v>0</v>
      </c>
      <c r="F33" s="65"/>
      <c r="G33" s="66">
        <f>SUM(G13:H32)</f>
        <v>0</v>
      </c>
      <c r="H33" s="51"/>
      <c r="I33" s="67"/>
      <c r="J33" s="134">
        <f>SUM(J13:J32)</f>
        <v>0</v>
      </c>
      <c r="K33" s="134">
        <f>IF(G6=TRUE,0, SUMIF(I13:I32,"&gt;=1",K13:K32))</f>
        <v>0</v>
      </c>
      <c r="L33" s="69">
        <f t="shared" ref="L33:N33" si="9">SUM(L13:L32)</f>
        <v>0</v>
      </c>
      <c r="M33" s="70">
        <f t="shared" si="9"/>
        <v>0</v>
      </c>
      <c r="N33" s="71">
        <f t="shared" si="9"/>
        <v>0</v>
      </c>
      <c r="O33" s="72">
        <f t="shared" si="7"/>
        <v>0</v>
      </c>
      <c r="P33" s="22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2"/>
      <c r="B34" s="73" t="s">
        <v>33</v>
      </c>
      <c r="C34" s="50"/>
      <c r="D34" s="74"/>
      <c r="E34" s="75">
        <f>IF(E33=1,0.9,IF(E33=2,0.9,IF(E33=3,1.1,IF(E33&gt;=4,1.75,0))))</f>
        <v>0</v>
      </c>
      <c r="F34" s="76"/>
      <c r="G34" s="3"/>
      <c r="H34" s="3"/>
      <c r="I34" s="3"/>
      <c r="J34" s="1"/>
      <c r="K34" s="1"/>
      <c r="L34" s="77"/>
      <c r="M34" s="77"/>
      <c r="N34" s="1"/>
      <c r="O34" s="78"/>
      <c r="P34" s="2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2"/>
      <c r="B35" s="1"/>
      <c r="C35" s="1"/>
      <c r="D35" s="1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2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2"/>
      <c r="B36" s="26" t="s">
        <v>34</v>
      </c>
      <c r="C36" s="9"/>
      <c r="D36" s="9"/>
      <c r="E36" s="10"/>
      <c r="F36" s="79" t="s">
        <v>35</v>
      </c>
      <c r="G36" s="26" t="s">
        <v>36</v>
      </c>
      <c r="H36" s="10"/>
      <c r="I36" s="27"/>
      <c r="J36" s="1"/>
      <c r="K36" s="80" t="s">
        <v>59</v>
      </c>
      <c r="L36" s="81"/>
      <c r="M36" s="32">
        <f>I13*J13+I14*J14+I15*J15+I16*J16+I17*J17+I30*J30+I31*J31+I32*J32</f>
        <v>0</v>
      </c>
      <c r="N36" s="135"/>
      <c r="O36" s="1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22"/>
      <c r="B37" s="83"/>
      <c r="C37" s="84"/>
      <c r="D37" s="84"/>
      <c r="E37" s="84"/>
      <c r="F37" s="85"/>
      <c r="G37" s="86"/>
      <c r="H37" s="87"/>
      <c r="I37" s="88"/>
      <c r="J37" s="1"/>
      <c r="K37" s="136" t="str">
        <f>CONCATENATE(Formules!A12,Plafond_PES)</f>
        <v>Bonification PES &gt; 415</v>
      </c>
      <c r="L37" s="137"/>
      <c r="M37" s="90">
        <f>IF(M36-Plafond_PES &gt; 0,M36-Plafond_PES,0)</f>
        <v>0</v>
      </c>
      <c r="N37" s="98">
        <f>M37*0.03</f>
        <v>0</v>
      </c>
      <c r="O37" s="1"/>
      <c r="P37" s="2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2"/>
      <c r="B38" s="92"/>
      <c r="C38" s="93"/>
      <c r="D38" s="93"/>
      <c r="E38" s="93"/>
      <c r="F38" s="94"/>
      <c r="G38" s="95"/>
      <c r="H38" s="96"/>
      <c r="I38" s="88"/>
      <c r="J38" s="1"/>
      <c r="K38" s="89" t="s">
        <v>38</v>
      </c>
      <c r="L38" s="138"/>
      <c r="M38" s="90">
        <f>IF((K33-160)&lt;1,0,K33-160)</f>
        <v>0</v>
      </c>
      <c r="N38" s="91">
        <f>(M38^2)*0.1</f>
        <v>0</v>
      </c>
      <c r="O38" s="1"/>
      <c r="P38" s="22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22"/>
      <c r="B39" s="92"/>
      <c r="C39" s="93"/>
      <c r="D39" s="93"/>
      <c r="E39" s="93"/>
      <c r="F39" s="94"/>
      <c r="G39" s="95"/>
      <c r="H39" s="96"/>
      <c r="I39" s="88"/>
      <c r="J39" s="1"/>
      <c r="K39" s="89" t="s">
        <v>60</v>
      </c>
      <c r="L39" s="138"/>
      <c r="M39" s="90">
        <f>IF(K33&lt;75,0,K33)</f>
        <v>0</v>
      </c>
      <c r="N39" s="98">
        <f>M39*0.01</f>
        <v>0</v>
      </c>
      <c r="O39" s="1"/>
      <c r="P39" s="2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2"/>
      <c r="B40" s="92"/>
      <c r="C40" s="93"/>
      <c r="D40" s="93"/>
      <c r="E40" s="93"/>
      <c r="F40" s="94"/>
      <c r="G40" s="95"/>
      <c r="H40" s="96"/>
      <c r="I40" s="88"/>
      <c r="J40" s="1"/>
      <c r="K40" s="139" t="s">
        <v>40</v>
      </c>
      <c r="L40" s="140"/>
      <c r="M40" s="137"/>
      <c r="N40" s="91">
        <f>F43*40+G43*40</f>
        <v>0</v>
      </c>
      <c r="O40" s="1"/>
      <c r="P40" s="22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22"/>
      <c r="B41" s="92"/>
      <c r="C41" s="93"/>
      <c r="D41" s="93"/>
      <c r="E41" s="93"/>
      <c r="F41" s="94"/>
      <c r="G41" s="95"/>
      <c r="H41" s="96"/>
      <c r="I41" s="88"/>
      <c r="J41" s="1"/>
      <c r="K41" s="141" t="s">
        <v>61</v>
      </c>
      <c r="L41" s="50"/>
      <c r="M41" s="74"/>
      <c r="N41" s="101">
        <f>F52</f>
        <v>0</v>
      </c>
      <c r="O41" s="1"/>
      <c r="P41" s="2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2"/>
      <c r="B42" s="107"/>
      <c r="C42" s="108"/>
      <c r="D42" s="108"/>
      <c r="E42" s="108"/>
      <c r="F42" s="55"/>
      <c r="G42" s="109"/>
      <c r="H42" s="110"/>
      <c r="I42" s="88"/>
      <c r="J42" s="1"/>
      <c r="K42" s="102" t="s">
        <v>41</v>
      </c>
      <c r="L42" s="50"/>
      <c r="M42" s="74"/>
      <c r="N42" s="103">
        <f>SUM(N36:N41,O33)</f>
        <v>0</v>
      </c>
      <c r="O42" s="1"/>
      <c r="P42" s="22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2"/>
      <c r="B43" s="1"/>
      <c r="C43" s="1"/>
      <c r="D43" s="1"/>
      <c r="E43" s="3"/>
      <c r="F43" s="111">
        <f>SUM(F37:F42)</f>
        <v>0</v>
      </c>
      <c r="G43" s="112">
        <f>SUM(G37:H42)</f>
        <v>0</v>
      </c>
      <c r="H43" s="10"/>
      <c r="I43" s="113"/>
      <c r="J43" s="1"/>
      <c r="K43" s="104" t="s">
        <v>42</v>
      </c>
      <c r="L43" s="9"/>
      <c r="M43" s="105"/>
      <c r="N43" s="106">
        <f>IF(N42/80&gt;0.45,0.5,N42/80)</f>
        <v>0</v>
      </c>
      <c r="O43" s="1"/>
      <c r="P43" s="22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2"/>
      <c r="B44" s="1"/>
      <c r="C44" s="1"/>
      <c r="D44" s="1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22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22"/>
      <c r="B45" s="142" t="s">
        <v>62</v>
      </c>
      <c r="C45" s="142" t="s">
        <v>18</v>
      </c>
      <c r="D45" s="142" t="s">
        <v>63</v>
      </c>
      <c r="E45" s="143" t="s">
        <v>64</v>
      </c>
      <c r="F45" s="144" t="s">
        <v>65</v>
      </c>
      <c r="G45" s="1"/>
      <c r="H45" s="1"/>
      <c r="I45" s="1"/>
      <c r="J45" s="1"/>
      <c r="K45" s="1"/>
      <c r="L45" s="1"/>
      <c r="M45" s="1"/>
      <c r="N45" s="1"/>
      <c r="O45" s="1"/>
      <c r="P45" s="22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2"/>
      <c r="B46" s="145"/>
      <c r="C46" s="146"/>
      <c r="D46" s="31"/>
      <c r="E46" s="147"/>
      <c r="F46" s="148">
        <f t="shared" ref="F46:F51" si="10">IF(C46&gt;0,(C46/D46)*40*0.89*E46,0)</f>
        <v>0</v>
      </c>
      <c r="G46" s="1"/>
      <c r="H46" s="1"/>
      <c r="I46" s="1"/>
      <c r="J46" s="1"/>
      <c r="K46" s="1"/>
      <c r="L46" s="1"/>
      <c r="M46" s="1"/>
      <c r="N46" s="1"/>
      <c r="O46" s="1"/>
      <c r="P46" s="22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2"/>
      <c r="B47" s="149"/>
      <c r="C47" s="150"/>
      <c r="D47" s="3"/>
      <c r="E47" s="88"/>
      <c r="F47" s="148">
        <f t="shared" si="10"/>
        <v>0</v>
      </c>
      <c r="G47" s="1"/>
      <c r="H47" s="1"/>
      <c r="I47" s="1"/>
      <c r="J47" s="1"/>
      <c r="K47" s="1"/>
      <c r="L47" s="1"/>
      <c r="M47" s="1"/>
      <c r="N47" s="1"/>
      <c r="O47" s="1"/>
      <c r="P47" s="2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2"/>
      <c r="B48" s="149"/>
      <c r="C48" s="150"/>
      <c r="D48" s="3"/>
      <c r="E48" s="88"/>
      <c r="F48" s="148">
        <f t="shared" si="10"/>
        <v>0</v>
      </c>
      <c r="G48" s="1"/>
      <c r="H48" s="1"/>
      <c r="I48" s="1"/>
      <c r="J48" s="1"/>
      <c r="K48" s="1"/>
      <c r="L48" s="1"/>
      <c r="M48" s="1"/>
      <c r="N48" s="1"/>
      <c r="O48" s="1"/>
      <c r="P48" s="2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2"/>
      <c r="B49" s="149"/>
      <c r="C49" s="150"/>
      <c r="D49" s="3"/>
      <c r="E49" s="88"/>
      <c r="F49" s="148">
        <f t="shared" si="10"/>
        <v>0</v>
      </c>
      <c r="G49" s="1"/>
      <c r="H49" s="1"/>
      <c r="I49" s="1"/>
      <c r="J49" s="1"/>
      <c r="K49" s="1"/>
      <c r="L49" s="1"/>
      <c r="M49" s="1"/>
      <c r="N49" s="1"/>
      <c r="O49" s="1"/>
      <c r="P49" s="2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2"/>
      <c r="B50" s="149"/>
      <c r="C50" s="150"/>
      <c r="D50" s="3"/>
      <c r="E50" s="88"/>
      <c r="F50" s="148">
        <f t="shared" si="10"/>
        <v>0</v>
      </c>
      <c r="G50" s="1"/>
      <c r="H50" s="1"/>
      <c r="I50" s="1"/>
      <c r="J50" s="1"/>
      <c r="K50" s="1"/>
      <c r="L50" s="1"/>
      <c r="M50" s="1"/>
      <c r="N50" s="1"/>
      <c r="O50" s="1"/>
      <c r="P50" s="2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2"/>
      <c r="B51" s="151"/>
      <c r="C51" s="152"/>
      <c r="D51" s="55"/>
      <c r="E51" s="153"/>
      <c r="F51" s="154">
        <f t="shared" si="10"/>
        <v>0</v>
      </c>
      <c r="G51" s="1"/>
      <c r="H51" s="1"/>
      <c r="I51" s="1"/>
      <c r="J51" s="1"/>
      <c r="K51" s="1"/>
      <c r="L51" s="1"/>
      <c r="M51" s="1"/>
      <c r="N51" s="1"/>
      <c r="O51" s="1"/>
      <c r="P51" s="2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2"/>
      <c r="F52" s="155">
        <f>SUM(F46:F51)</f>
        <v>0</v>
      </c>
      <c r="G52" s="1"/>
      <c r="H52" s="1"/>
      <c r="I52" s="1"/>
      <c r="J52" s="1"/>
      <c r="K52" s="1"/>
      <c r="L52" s="1"/>
      <c r="M52" s="1"/>
      <c r="N52" s="1"/>
      <c r="O52" s="1"/>
      <c r="P52" s="2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2"/>
      <c r="B53" s="1"/>
      <c r="C53" s="1"/>
      <c r="D53" s="1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2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6.75" customHeight="1">
      <c r="A54" s="22"/>
      <c r="B54" s="23"/>
      <c r="C54" s="23"/>
      <c r="D54" s="23"/>
      <c r="E54" s="24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6.75" customHeight="1">
      <c r="A56" s="114"/>
      <c r="B56" s="115"/>
      <c r="C56" s="115"/>
      <c r="D56" s="115"/>
      <c r="E56" s="116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14"/>
      <c r="B57" s="25" t="s">
        <v>7</v>
      </c>
      <c r="C57" s="25"/>
      <c r="D57" s="25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1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14"/>
      <c r="B58" s="1"/>
      <c r="C58" s="1"/>
      <c r="D58" s="1"/>
      <c r="E58" s="3"/>
      <c r="F58" s="1"/>
      <c r="G58" s="26" t="s">
        <v>10</v>
      </c>
      <c r="H58" s="10"/>
      <c r="I58" s="27"/>
      <c r="J58" s="1"/>
      <c r="K58" s="1"/>
      <c r="L58" s="1"/>
      <c r="M58" s="1"/>
      <c r="N58" s="1"/>
      <c r="O58" s="1"/>
      <c r="P58" s="11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14"/>
      <c r="B59" s="28" t="s">
        <v>11</v>
      </c>
      <c r="C59" s="28" t="s">
        <v>12</v>
      </c>
      <c r="D59" s="28" t="s">
        <v>13</v>
      </c>
      <c r="E59" s="28" t="s">
        <v>14</v>
      </c>
      <c r="F59" s="28" t="s">
        <v>15</v>
      </c>
      <c r="G59" s="28" t="s">
        <v>43</v>
      </c>
      <c r="H59" s="28" t="s">
        <v>17</v>
      </c>
      <c r="I59" s="28"/>
      <c r="J59" s="28" t="s">
        <v>18</v>
      </c>
      <c r="K59" s="28" t="s">
        <v>58</v>
      </c>
      <c r="L59" s="28" t="s">
        <v>19</v>
      </c>
      <c r="M59" s="28" t="s">
        <v>20</v>
      </c>
      <c r="N59" s="28" t="s">
        <v>21</v>
      </c>
      <c r="O59" s="28" t="s">
        <v>2</v>
      </c>
      <c r="P59" s="11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14"/>
      <c r="B60" s="117"/>
      <c r="C60" s="118"/>
      <c r="D60" s="118"/>
      <c r="E60" s="119"/>
      <c r="F60" s="118"/>
      <c r="G60" s="118"/>
      <c r="H60" s="118"/>
      <c r="I60" s="118"/>
      <c r="J60" s="118"/>
      <c r="K60" s="120"/>
      <c r="L60" s="120">
        <f>E82</f>
        <v>0</v>
      </c>
      <c r="M60" s="120" t="s">
        <v>22</v>
      </c>
      <c r="N60" s="120" t="s">
        <v>23</v>
      </c>
      <c r="O60" s="82"/>
      <c r="P60" s="11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14"/>
      <c r="B61" s="34">
        <f>IF(ISBLANK(E61),0,1)</f>
        <v>0</v>
      </c>
      <c r="C61" s="35">
        <v>1.0</v>
      </c>
      <c r="D61" s="35" t="b">
        <v>0</v>
      </c>
      <c r="E61" s="31"/>
      <c r="F61" s="30"/>
      <c r="G61" s="31"/>
      <c r="H61" s="31"/>
      <c r="I61" s="31">
        <f t="shared" ref="I61:I80" si="11">SUM(G61:H61)</f>
        <v>0</v>
      </c>
      <c r="J61" s="31"/>
      <c r="K61" s="90">
        <f t="shared" ref="K61:K80" si="12">IF($G$6=TRUE,0,IF(OR(C61=3,C61=4),J61,0))</f>
        <v>0</v>
      </c>
      <c r="L61" s="36">
        <f t="shared" ref="L61:L80" si="13">IF(B61=TRUE,$E$82*SUM(G61:H61)*B61,$E$82*SUM(G61:H61)*D61)</f>
        <v>0</v>
      </c>
      <c r="M61" s="36">
        <f t="shared" ref="M61:M80" si="14">SUM(G61:H61)*1.2</f>
        <v>0</v>
      </c>
      <c r="N61" s="37">
        <f t="shared" ref="N61:N80" si="15">SUM(G61:H61)*J61*0.04</f>
        <v>0</v>
      </c>
      <c r="O61" s="38">
        <f t="shared" ref="O61:O81" si="16">SUM(L61:N61)</f>
        <v>0</v>
      </c>
      <c r="P61" s="11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14"/>
      <c r="B62" s="42">
        <f>IF(ISBLANK(E62),0,IF(COUNTIF(E61,E62)&gt;=1,0,1))</f>
        <v>0</v>
      </c>
      <c r="C62" s="43">
        <v>1.0</v>
      </c>
      <c r="D62" s="43" t="b">
        <v>0</v>
      </c>
      <c r="E62" s="3"/>
      <c r="F62" s="1"/>
      <c r="G62" s="3"/>
      <c r="H62" s="3"/>
      <c r="I62" s="3">
        <f t="shared" si="11"/>
        <v>0</v>
      </c>
      <c r="J62" s="3"/>
      <c r="K62" s="90">
        <f t="shared" si="12"/>
        <v>0</v>
      </c>
      <c r="L62" s="44">
        <f t="shared" si="13"/>
        <v>0</v>
      </c>
      <c r="M62" s="44">
        <f t="shared" si="14"/>
        <v>0</v>
      </c>
      <c r="N62" s="45">
        <f t="shared" si="15"/>
        <v>0</v>
      </c>
      <c r="O62" s="33">
        <f t="shared" si="16"/>
        <v>0</v>
      </c>
      <c r="P62" s="11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14"/>
      <c r="B63" s="42">
        <f t="shared" ref="B63:B80" si="17">IF(ISBLANK($E63),0,IF(COUNTIF($E$61:$E62,E63)&gt;=1,0,1))</f>
        <v>0</v>
      </c>
      <c r="C63" s="43">
        <v>1.0</v>
      </c>
      <c r="D63" s="43" t="b">
        <v>0</v>
      </c>
      <c r="E63" s="3"/>
      <c r="F63" s="1"/>
      <c r="G63" s="3"/>
      <c r="H63" s="3"/>
      <c r="I63" s="3">
        <f t="shared" si="11"/>
        <v>0</v>
      </c>
      <c r="J63" s="3"/>
      <c r="K63" s="90">
        <f t="shared" si="12"/>
        <v>0</v>
      </c>
      <c r="L63" s="44">
        <f t="shared" si="13"/>
        <v>0</v>
      </c>
      <c r="M63" s="44">
        <f t="shared" si="14"/>
        <v>0</v>
      </c>
      <c r="N63" s="45">
        <f t="shared" si="15"/>
        <v>0</v>
      </c>
      <c r="O63" s="33">
        <f t="shared" si="16"/>
        <v>0</v>
      </c>
      <c r="P63" s="11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14"/>
      <c r="B64" s="42">
        <f t="shared" si="17"/>
        <v>0</v>
      </c>
      <c r="C64" s="43">
        <v>1.0</v>
      </c>
      <c r="D64" s="43" t="b">
        <v>0</v>
      </c>
      <c r="E64" s="3"/>
      <c r="F64" s="1"/>
      <c r="G64" s="3"/>
      <c r="H64" s="3"/>
      <c r="I64" s="3">
        <f t="shared" si="11"/>
        <v>0</v>
      </c>
      <c r="J64" s="3"/>
      <c r="K64" s="90">
        <f t="shared" si="12"/>
        <v>0</v>
      </c>
      <c r="L64" s="44">
        <f t="shared" si="13"/>
        <v>0</v>
      </c>
      <c r="M64" s="44">
        <f t="shared" si="14"/>
        <v>0</v>
      </c>
      <c r="N64" s="45">
        <f t="shared" si="15"/>
        <v>0</v>
      </c>
      <c r="O64" s="33">
        <f t="shared" si="16"/>
        <v>0</v>
      </c>
      <c r="P64" s="11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14"/>
      <c r="B65" s="42">
        <f t="shared" si="17"/>
        <v>0</v>
      </c>
      <c r="C65" s="43">
        <v>1.0</v>
      </c>
      <c r="D65" s="43" t="b">
        <v>0</v>
      </c>
      <c r="E65" s="3"/>
      <c r="F65" s="1"/>
      <c r="G65" s="3"/>
      <c r="H65" s="3"/>
      <c r="I65" s="3">
        <f t="shared" si="11"/>
        <v>0</v>
      </c>
      <c r="J65" s="3"/>
      <c r="K65" s="90">
        <f t="shared" si="12"/>
        <v>0</v>
      </c>
      <c r="L65" s="44">
        <f t="shared" si="13"/>
        <v>0</v>
      </c>
      <c r="M65" s="44">
        <f t="shared" si="14"/>
        <v>0</v>
      </c>
      <c r="N65" s="45">
        <f t="shared" si="15"/>
        <v>0</v>
      </c>
      <c r="O65" s="33">
        <f t="shared" si="16"/>
        <v>0</v>
      </c>
      <c r="P65" s="11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14"/>
      <c r="B66" s="42">
        <f t="shared" si="17"/>
        <v>0</v>
      </c>
      <c r="C66" s="43">
        <v>1.0</v>
      </c>
      <c r="D66" s="43" t="b">
        <v>0</v>
      </c>
      <c r="E66" s="3"/>
      <c r="F66" s="1"/>
      <c r="G66" s="3"/>
      <c r="H66" s="3"/>
      <c r="I66" s="3">
        <f t="shared" si="11"/>
        <v>0</v>
      </c>
      <c r="J66" s="3"/>
      <c r="K66" s="90">
        <f t="shared" si="12"/>
        <v>0</v>
      </c>
      <c r="L66" s="44">
        <f t="shared" si="13"/>
        <v>0</v>
      </c>
      <c r="M66" s="44">
        <f t="shared" si="14"/>
        <v>0</v>
      </c>
      <c r="N66" s="45">
        <f t="shared" si="15"/>
        <v>0</v>
      </c>
      <c r="O66" s="33">
        <f t="shared" si="16"/>
        <v>0</v>
      </c>
      <c r="P66" s="11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14"/>
      <c r="B67" s="42">
        <f t="shared" si="17"/>
        <v>0</v>
      </c>
      <c r="C67" s="43">
        <v>1.0</v>
      </c>
      <c r="D67" s="43" t="b">
        <v>0</v>
      </c>
      <c r="E67" s="3"/>
      <c r="F67" s="1"/>
      <c r="G67" s="3"/>
      <c r="H67" s="3"/>
      <c r="I67" s="3">
        <f t="shared" si="11"/>
        <v>0</v>
      </c>
      <c r="J67" s="3"/>
      <c r="K67" s="90">
        <f t="shared" si="12"/>
        <v>0</v>
      </c>
      <c r="L67" s="44">
        <f t="shared" si="13"/>
        <v>0</v>
      </c>
      <c r="M67" s="44">
        <f t="shared" si="14"/>
        <v>0</v>
      </c>
      <c r="N67" s="45">
        <f t="shared" si="15"/>
        <v>0</v>
      </c>
      <c r="O67" s="33">
        <f t="shared" si="16"/>
        <v>0</v>
      </c>
      <c r="P67" s="11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14"/>
      <c r="B68" s="42">
        <f t="shared" si="17"/>
        <v>0</v>
      </c>
      <c r="C68" s="43">
        <v>1.0</v>
      </c>
      <c r="D68" s="43" t="b">
        <v>0</v>
      </c>
      <c r="E68" s="3"/>
      <c r="F68" s="1"/>
      <c r="G68" s="3"/>
      <c r="H68" s="3"/>
      <c r="I68" s="3">
        <f t="shared" si="11"/>
        <v>0</v>
      </c>
      <c r="J68" s="3"/>
      <c r="K68" s="90">
        <f t="shared" si="12"/>
        <v>0</v>
      </c>
      <c r="L68" s="44">
        <f t="shared" si="13"/>
        <v>0</v>
      </c>
      <c r="M68" s="44">
        <f t="shared" si="14"/>
        <v>0</v>
      </c>
      <c r="N68" s="45">
        <f t="shared" si="15"/>
        <v>0</v>
      </c>
      <c r="O68" s="33">
        <f t="shared" si="16"/>
        <v>0</v>
      </c>
      <c r="P68" s="11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14"/>
      <c r="B69" s="42">
        <f t="shared" si="17"/>
        <v>0</v>
      </c>
      <c r="C69" s="43">
        <v>1.0</v>
      </c>
      <c r="D69" s="43" t="b">
        <v>0</v>
      </c>
      <c r="E69" s="3"/>
      <c r="F69" s="1"/>
      <c r="G69" s="3"/>
      <c r="H69" s="3"/>
      <c r="I69" s="3">
        <f t="shared" si="11"/>
        <v>0</v>
      </c>
      <c r="J69" s="3"/>
      <c r="K69" s="90">
        <f t="shared" si="12"/>
        <v>0</v>
      </c>
      <c r="L69" s="44">
        <f t="shared" si="13"/>
        <v>0</v>
      </c>
      <c r="M69" s="44">
        <f t="shared" si="14"/>
        <v>0</v>
      </c>
      <c r="N69" s="45">
        <f t="shared" si="15"/>
        <v>0</v>
      </c>
      <c r="O69" s="33">
        <f t="shared" si="16"/>
        <v>0</v>
      </c>
      <c r="P69" s="11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14"/>
      <c r="B70" s="42">
        <f t="shared" si="17"/>
        <v>0</v>
      </c>
      <c r="C70" s="43">
        <v>1.0</v>
      </c>
      <c r="D70" s="43" t="b">
        <v>0</v>
      </c>
      <c r="E70" s="3"/>
      <c r="F70" s="1"/>
      <c r="G70" s="3"/>
      <c r="H70" s="3"/>
      <c r="I70" s="3">
        <f t="shared" si="11"/>
        <v>0</v>
      </c>
      <c r="J70" s="3"/>
      <c r="K70" s="90">
        <f t="shared" si="12"/>
        <v>0</v>
      </c>
      <c r="L70" s="44">
        <f t="shared" si="13"/>
        <v>0</v>
      </c>
      <c r="M70" s="44">
        <f t="shared" si="14"/>
        <v>0</v>
      </c>
      <c r="N70" s="45">
        <f t="shared" si="15"/>
        <v>0</v>
      </c>
      <c r="O70" s="33">
        <f t="shared" si="16"/>
        <v>0</v>
      </c>
      <c r="P70" s="11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14"/>
      <c r="B71" s="42">
        <f t="shared" si="17"/>
        <v>0</v>
      </c>
      <c r="C71" s="43">
        <v>1.0</v>
      </c>
      <c r="D71" s="43" t="b">
        <v>0</v>
      </c>
      <c r="E71" s="3"/>
      <c r="F71" s="1"/>
      <c r="G71" s="3"/>
      <c r="H71" s="3"/>
      <c r="I71" s="3">
        <f t="shared" si="11"/>
        <v>0</v>
      </c>
      <c r="J71" s="3"/>
      <c r="K71" s="90">
        <f t="shared" si="12"/>
        <v>0</v>
      </c>
      <c r="L71" s="44">
        <f t="shared" si="13"/>
        <v>0</v>
      </c>
      <c r="M71" s="44">
        <f t="shared" si="14"/>
        <v>0</v>
      </c>
      <c r="N71" s="45">
        <f t="shared" si="15"/>
        <v>0</v>
      </c>
      <c r="O71" s="33">
        <f t="shared" si="16"/>
        <v>0</v>
      </c>
      <c r="P71" s="11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14"/>
      <c r="B72" s="42">
        <f t="shared" si="17"/>
        <v>0</v>
      </c>
      <c r="C72" s="43">
        <v>1.0</v>
      </c>
      <c r="D72" s="43" t="b">
        <v>0</v>
      </c>
      <c r="E72" s="3"/>
      <c r="F72" s="1"/>
      <c r="G72" s="3"/>
      <c r="H72" s="3"/>
      <c r="I72" s="3">
        <f t="shared" si="11"/>
        <v>0</v>
      </c>
      <c r="J72" s="3"/>
      <c r="K72" s="90">
        <f t="shared" si="12"/>
        <v>0</v>
      </c>
      <c r="L72" s="44">
        <f t="shared" si="13"/>
        <v>0</v>
      </c>
      <c r="M72" s="44">
        <f t="shared" si="14"/>
        <v>0</v>
      </c>
      <c r="N72" s="45">
        <f t="shared" si="15"/>
        <v>0</v>
      </c>
      <c r="O72" s="33">
        <f t="shared" si="16"/>
        <v>0</v>
      </c>
      <c r="P72" s="11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14"/>
      <c r="B73" s="42">
        <f t="shared" si="17"/>
        <v>0</v>
      </c>
      <c r="C73" s="43">
        <v>1.0</v>
      </c>
      <c r="D73" s="43" t="b">
        <v>0</v>
      </c>
      <c r="E73" s="3"/>
      <c r="F73" s="1"/>
      <c r="G73" s="3"/>
      <c r="H73" s="3"/>
      <c r="I73" s="3">
        <f t="shared" si="11"/>
        <v>0</v>
      </c>
      <c r="J73" s="3"/>
      <c r="K73" s="90">
        <f t="shared" si="12"/>
        <v>0</v>
      </c>
      <c r="L73" s="44">
        <f t="shared" si="13"/>
        <v>0</v>
      </c>
      <c r="M73" s="44">
        <f t="shared" si="14"/>
        <v>0</v>
      </c>
      <c r="N73" s="45">
        <f t="shared" si="15"/>
        <v>0</v>
      </c>
      <c r="O73" s="33">
        <f t="shared" si="16"/>
        <v>0</v>
      </c>
      <c r="P73" s="11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14"/>
      <c r="B74" s="42">
        <f t="shared" si="17"/>
        <v>0</v>
      </c>
      <c r="C74" s="43">
        <v>1.0</v>
      </c>
      <c r="D74" s="43" t="b">
        <v>0</v>
      </c>
      <c r="E74" s="3"/>
      <c r="F74" s="1"/>
      <c r="G74" s="3"/>
      <c r="H74" s="3"/>
      <c r="I74" s="3">
        <f t="shared" si="11"/>
        <v>0</v>
      </c>
      <c r="J74" s="3"/>
      <c r="K74" s="90">
        <f t="shared" si="12"/>
        <v>0</v>
      </c>
      <c r="L74" s="44">
        <f t="shared" si="13"/>
        <v>0</v>
      </c>
      <c r="M74" s="44">
        <f t="shared" si="14"/>
        <v>0</v>
      </c>
      <c r="N74" s="45">
        <f t="shared" si="15"/>
        <v>0</v>
      </c>
      <c r="O74" s="33">
        <f t="shared" si="16"/>
        <v>0</v>
      </c>
      <c r="P74" s="11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14"/>
      <c r="B75" s="42">
        <f t="shared" si="17"/>
        <v>0</v>
      </c>
      <c r="C75" s="43">
        <v>1.0</v>
      </c>
      <c r="D75" s="43" t="b">
        <v>0</v>
      </c>
      <c r="E75" s="3"/>
      <c r="F75" s="1"/>
      <c r="G75" s="3"/>
      <c r="H75" s="3"/>
      <c r="I75" s="3">
        <f t="shared" si="11"/>
        <v>0</v>
      </c>
      <c r="J75" s="3"/>
      <c r="K75" s="90">
        <f t="shared" si="12"/>
        <v>0</v>
      </c>
      <c r="L75" s="44">
        <f t="shared" si="13"/>
        <v>0</v>
      </c>
      <c r="M75" s="44">
        <f t="shared" si="14"/>
        <v>0</v>
      </c>
      <c r="N75" s="45">
        <f t="shared" si="15"/>
        <v>0</v>
      </c>
      <c r="O75" s="33">
        <f t="shared" si="16"/>
        <v>0</v>
      </c>
      <c r="P75" s="11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14"/>
      <c r="B76" s="42">
        <f t="shared" si="17"/>
        <v>0</v>
      </c>
      <c r="C76" s="43">
        <v>1.0</v>
      </c>
      <c r="D76" s="43" t="b">
        <v>0</v>
      </c>
      <c r="E76" s="3"/>
      <c r="F76" s="1"/>
      <c r="G76" s="3"/>
      <c r="H76" s="3"/>
      <c r="I76" s="3">
        <f t="shared" si="11"/>
        <v>0</v>
      </c>
      <c r="J76" s="3"/>
      <c r="K76" s="90">
        <f t="shared" si="12"/>
        <v>0</v>
      </c>
      <c r="L76" s="44">
        <f t="shared" si="13"/>
        <v>0</v>
      </c>
      <c r="M76" s="44">
        <f t="shared" si="14"/>
        <v>0</v>
      </c>
      <c r="N76" s="45">
        <f t="shared" si="15"/>
        <v>0</v>
      </c>
      <c r="O76" s="33">
        <f t="shared" si="16"/>
        <v>0</v>
      </c>
      <c r="P76" s="11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14"/>
      <c r="B77" s="42">
        <f t="shared" si="17"/>
        <v>0</v>
      </c>
      <c r="C77" s="43">
        <v>1.0</v>
      </c>
      <c r="D77" s="43" t="b">
        <v>0</v>
      </c>
      <c r="E77" s="3"/>
      <c r="F77" s="1"/>
      <c r="G77" s="3"/>
      <c r="H77" s="3"/>
      <c r="I77" s="3">
        <f t="shared" si="11"/>
        <v>0</v>
      </c>
      <c r="J77" s="3"/>
      <c r="K77" s="90">
        <f t="shared" si="12"/>
        <v>0</v>
      </c>
      <c r="L77" s="44">
        <f t="shared" si="13"/>
        <v>0</v>
      </c>
      <c r="M77" s="44">
        <f t="shared" si="14"/>
        <v>0</v>
      </c>
      <c r="N77" s="45">
        <f t="shared" si="15"/>
        <v>0</v>
      </c>
      <c r="O77" s="33">
        <f t="shared" si="16"/>
        <v>0</v>
      </c>
      <c r="P77" s="11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14"/>
      <c r="B78" s="42">
        <f t="shared" si="17"/>
        <v>0</v>
      </c>
      <c r="C78" s="43">
        <v>1.0</v>
      </c>
      <c r="D78" s="43" t="b">
        <v>0</v>
      </c>
      <c r="E78" s="3"/>
      <c r="F78" s="1"/>
      <c r="G78" s="3"/>
      <c r="H78" s="3"/>
      <c r="I78" s="3">
        <f t="shared" si="11"/>
        <v>0</v>
      </c>
      <c r="J78" s="3"/>
      <c r="K78" s="90">
        <f t="shared" si="12"/>
        <v>0</v>
      </c>
      <c r="L78" s="44">
        <f t="shared" si="13"/>
        <v>0</v>
      </c>
      <c r="M78" s="44">
        <f t="shared" si="14"/>
        <v>0</v>
      </c>
      <c r="N78" s="45">
        <f t="shared" si="15"/>
        <v>0</v>
      </c>
      <c r="O78" s="33">
        <f t="shared" si="16"/>
        <v>0</v>
      </c>
      <c r="P78" s="11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14"/>
      <c r="B79" s="42">
        <f t="shared" si="17"/>
        <v>0</v>
      </c>
      <c r="C79" s="43">
        <v>1.0</v>
      </c>
      <c r="D79" s="43" t="b">
        <v>0</v>
      </c>
      <c r="E79" s="3"/>
      <c r="F79" s="1"/>
      <c r="G79" s="3"/>
      <c r="H79" s="3"/>
      <c r="I79" s="3">
        <f t="shared" si="11"/>
        <v>0</v>
      </c>
      <c r="J79" s="3"/>
      <c r="K79" s="90">
        <f t="shared" si="12"/>
        <v>0</v>
      </c>
      <c r="L79" s="44">
        <f t="shared" si="13"/>
        <v>0</v>
      </c>
      <c r="M79" s="44">
        <f t="shared" si="14"/>
        <v>0</v>
      </c>
      <c r="N79" s="45">
        <f t="shared" si="15"/>
        <v>0</v>
      </c>
      <c r="O79" s="33">
        <f t="shared" si="16"/>
        <v>0</v>
      </c>
      <c r="P79" s="11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14"/>
      <c r="B80" s="42">
        <f t="shared" si="17"/>
        <v>0</v>
      </c>
      <c r="C80" s="54">
        <v>1.0</v>
      </c>
      <c r="D80" s="54" t="b">
        <v>0</v>
      </c>
      <c r="E80" s="55"/>
      <c r="F80" s="56"/>
      <c r="G80" s="55"/>
      <c r="H80" s="55"/>
      <c r="I80" s="55">
        <f t="shared" si="11"/>
        <v>0</v>
      </c>
      <c r="J80" s="55"/>
      <c r="K80" s="90">
        <f t="shared" si="12"/>
        <v>0</v>
      </c>
      <c r="L80" s="44">
        <f t="shared" si="13"/>
        <v>0</v>
      </c>
      <c r="M80" s="44">
        <f t="shared" si="14"/>
        <v>0</v>
      </c>
      <c r="N80" s="45">
        <f t="shared" si="15"/>
        <v>0</v>
      </c>
      <c r="O80" s="33">
        <f t="shared" si="16"/>
        <v>0</v>
      </c>
      <c r="P80" s="11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75" customHeight="1">
      <c r="A81" s="114"/>
      <c r="B81" s="61" t="s">
        <v>32</v>
      </c>
      <c r="C81" s="62"/>
      <c r="D81" s="63"/>
      <c r="E81" s="64">
        <f>IF(G6=TRUE,K6,SUM(IF(B61,1,0),IF(B62,1,0),IF(B63,1,0),IF(B64,1,0),IF(B65,1,0),IF(B66,1,0),IF(B67,1,0),IF(B68,1,0),IF(B69,1,0),IF(B70,1,0),IF(B71,1,0),IF(B72,1,0),IF(B73,1,0),IF(B74,1,0),IF(B75,1,0),IF(B76,1,0),IF(B77,1,0),IF(B78,1,0),IF(B79,1,0),IF(B80,1,0)))</f>
        <v>0</v>
      </c>
      <c r="F81" s="65"/>
      <c r="G81" s="66">
        <f>SUM(G61:H80)</f>
        <v>0</v>
      </c>
      <c r="H81" s="51"/>
      <c r="I81" s="122"/>
      <c r="J81" s="123">
        <f>SUM(J61:J80)</f>
        <v>0</v>
      </c>
      <c r="K81" s="156">
        <f>IF($G$6=TRUE,0, SUMIF(I61:I80,"&gt;=1",K61:K80))</f>
        <v>0</v>
      </c>
      <c r="L81" s="157">
        <f t="shared" ref="L81:N81" si="18">SUM(L61:L80)</f>
        <v>0</v>
      </c>
      <c r="M81" s="158">
        <f t="shared" si="18"/>
        <v>0</v>
      </c>
      <c r="N81" s="159">
        <f t="shared" si="18"/>
        <v>0</v>
      </c>
      <c r="O81" s="160">
        <f t="shared" si="16"/>
        <v>0</v>
      </c>
      <c r="P81" s="11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14"/>
      <c r="B82" s="73" t="s">
        <v>33</v>
      </c>
      <c r="C82" s="50"/>
      <c r="D82" s="74"/>
      <c r="E82" s="75">
        <f>IF(E81=1,0.9,IF(E81=2,0.9,IF(E81=3,1.1,IF(E81&gt;=4,1.75,0))))</f>
        <v>0</v>
      </c>
      <c r="F82" s="76"/>
      <c r="G82" s="3"/>
      <c r="H82" s="3"/>
      <c r="I82" s="3"/>
      <c r="J82" s="1"/>
      <c r="K82" s="1"/>
      <c r="L82" s="77"/>
      <c r="M82" s="77"/>
      <c r="N82" s="1"/>
      <c r="O82" s="78"/>
      <c r="P82" s="11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14"/>
      <c r="B83" s="1"/>
      <c r="C83" s="1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1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14"/>
      <c r="B84" s="26" t="s">
        <v>34</v>
      </c>
      <c r="C84" s="9"/>
      <c r="D84" s="9"/>
      <c r="E84" s="10"/>
      <c r="F84" s="79" t="s">
        <v>35</v>
      </c>
      <c r="G84" s="26" t="s">
        <v>36</v>
      </c>
      <c r="H84" s="10"/>
      <c r="I84" s="27"/>
      <c r="J84" s="1"/>
      <c r="K84" s="80" t="s">
        <v>59</v>
      </c>
      <c r="L84" s="81"/>
      <c r="M84" s="32">
        <f>I61*J61+I62*J62+I63*J63+I64*J64+I77*J77+I78*J78+I79*J79+I80*J80</f>
        <v>0</v>
      </c>
      <c r="N84" s="82"/>
      <c r="O84" s="1"/>
      <c r="P84" s="11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14"/>
      <c r="B85" s="83"/>
      <c r="C85" s="84"/>
      <c r="D85" s="84"/>
      <c r="E85" s="84"/>
      <c r="F85" s="85"/>
      <c r="G85" s="86"/>
      <c r="H85" s="87"/>
      <c r="I85" s="88"/>
      <c r="J85" s="1"/>
      <c r="K85" s="89" t="str">
        <f>CONCATENATE(Formules!A12,Plafond_PES)</f>
        <v>Bonification PES &gt; 415</v>
      </c>
      <c r="L85" s="138"/>
      <c r="M85" s="90">
        <f>IF(M84-Plafond_PES &gt; 0,M84-Plafond_PES,0)</f>
        <v>0</v>
      </c>
      <c r="N85" s="98">
        <f>M85*0.03</f>
        <v>0</v>
      </c>
      <c r="O85" s="1"/>
      <c r="P85" s="11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14"/>
      <c r="B86" s="92"/>
      <c r="C86" s="93"/>
      <c r="D86" s="93"/>
      <c r="E86" s="93"/>
      <c r="F86" s="94"/>
      <c r="G86" s="95"/>
      <c r="H86" s="96"/>
      <c r="I86" s="88"/>
      <c r="J86" s="1"/>
      <c r="K86" s="89" t="s">
        <v>38</v>
      </c>
      <c r="L86" s="138"/>
      <c r="M86" s="90">
        <f>IF((K81-160)&lt;1,0,K81-160)</f>
        <v>0</v>
      </c>
      <c r="N86" s="91">
        <f>(M86^2)*0.1</f>
        <v>0</v>
      </c>
      <c r="O86" s="1"/>
      <c r="P86" s="11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14"/>
      <c r="B87" s="92"/>
      <c r="C87" s="93"/>
      <c r="D87" s="93"/>
      <c r="E87" s="93"/>
      <c r="F87" s="94"/>
      <c r="G87" s="95"/>
      <c r="H87" s="96"/>
      <c r="I87" s="88"/>
      <c r="J87" s="1"/>
      <c r="K87" s="89" t="s">
        <v>66</v>
      </c>
      <c r="L87" s="138"/>
      <c r="M87" s="90">
        <f>IF(K81&lt;75,0,K81)</f>
        <v>0</v>
      </c>
      <c r="N87" s="98">
        <f>M87*0.01</f>
        <v>0</v>
      </c>
      <c r="O87" s="1"/>
      <c r="P87" s="11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14"/>
      <c r="B88" s="92"/>
      <c r="C88" s="93"/>
      <c r="D88" s="93"/>
      <c r="E88" s="93"/>
      <c r="F88" s="94"/>
      <c r="G88" s="95"/>
      <c r="H88" s="96"/>
      <c r="I88" s="88"/>
      <c r="J88" s="1"/>
      <c r="K88" s="89" t="s">
        <v>40</v>
      </c>
      <c r="L88" s="138"/>
      <c r="M88" s="138"/>
      <c r="N88" s="91">
        <f>F91*40+G91*40</f>
        <v>0</v>
      </c>
      <c r="O88" s="1"/>
      <c r="P88" s="11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14"/>
      <c r="B89" s="92"/>
      <c r="C89" s="93"/>
      <c r="D89" s="93"/>
      <c r="E89" s="93"/>
      <c r="F89" s="94"/>
      <c r="G89" s="95"/>
      <c r="H89" s="96"/>
      <c r="I89" s="88"/>
      <c r="J89" s="1"/>
      <c r="K89" s="141" t="s">
        <v>61</v>
      </c>
      <c r="L89" s="50"/>
      <c r="M89" s="74"/>
      <c r="N89" s="101">
        <f>F100</f>
        <v>0</v>
      </c>
      <c r="O89" s="1"/>
      <c r="P89" s="11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14"/>
      <c r="B90" s="107"/>
      <c r="C90" s="108"/>
      <c r="D90" s="108"/>
      <c r="E90" s="108"/>
      <c r="F90" s="55"/>
      <c r="G90" s="109"/>
      <c r="H90" s="110"/>
      <c r="I90" s="88"/>
      <c r="J90" s="1"/>
      <c r="K90" s="102" t="s">
        <v>46</v>
      </c>
      <c r="L90" s="50"/>
      <c r="M90" s="74"/>
      <c r="N90" s="103">
        <f>SUM(N84:N89,O81)</f>
        <v>0</v>
      </c>
      <c r="O90" s="1"/>
      <c r="P90" s="11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14"/>
      <c r="B91" s="1"/>
      <c r="C91" s="1"/>
      <c r="D91" s="1"/>
      <c r="E91" s="3"/>
      <c r="F91" s="111">
        <f>SUM(F85:F90)</f>
        <v>0</v>
      </c>
      <c r="G91" s="112">
        <f>SUM(G85:H90)</f>
        <v>0</v>
      </c>
      <c r="H91" s="10"/>
      <c r="I91" s="113"/>
      <c r="J91" s="1"/>
      <c r="K91" s="104" t="s">
        <v>47</v>
      </c>
      <c r="L91" s="9"/>
      <c r="M91" s="105"/>
      <c r="N91" s="106">
        <f>IF(N90/80&gt;0.45,0.5,N90/80)</f>
        <v>0</v>
      </c>
      <c r="O91" s="1"/>
      <c r="P91" s="11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14"/>
      <c r="B92" s="1"/>
      <c r="C92" s="1"/>
      <c r="D92" s="1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1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6.75" customHeight="1">
      <c r="A93" s="114"/>
      <c r="B93" s="142" t="s">
        <v>62</v>
      </c>
      <c r="C93" s="142" t="s">
        <v>18</v>
      </c>
      <c r="D93" s="142" t="s">
        <v>63</v>
      </c>
      <c r="E93" s="143" t="s">
        <v>64</v>
      </c>
      <c r="F93" s="144" t="s">
        <v>65</v>
      </c>
      <c r="G93" s="1"/>
      <c r="H93" s="1"/>
      <c r="I93" s="1"/>
      <c r="J93" s="1"/>
      <c r="K93" s="1"/>
      <c r="L93" s="1"/>
      <c r="M93" s="1"/>
      <c r="N93" s="1"/>
      <c r="O93" s="1"/>
      <c r="P93" s="11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14"/>
      <c r="B94" s="145"/>
      <c r="C94" s="146"/>
      <c r="D94" s="31"/>
      <c r="E94" s="147"/>
      <c r="F94" s="148">
        <f t="shared" ref="F94:F99" si="19">IF(C94&gt;0,(C94/D94)*40*0.89*E94,0)</f>
        <v>0</v>
      </c>
      <c r="G94" s="1"/>
      <c r="H94" s="1"/>
      <c r="I94" s="1"/>
      <c r="J94" s="1"/>
      <c r="K94" s="1"/>
      <c r="L94" s="1"/>
      <c r="M94" s="1"/>
      <c r="N94" s="1"/>
      <c r="O94" s="1"/>
      <c r="P94" s="11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14"/>
      <c r="B95" s="149"/>
      <c r="C95" s="150"/>
      <c r="D95" s="3"/>
      <c r="E95" s="88"/>
      <c r="F95" s="148">
        <f t="shared" si="19"/>
        <v>0</v>
      </c>
      <c r="G95" s="1"/>
      <c r="H95" s="1"/>
      <c r="I95" s="1"/>
      <c r="J95" s="1"/>
      <c r="K95" s="1"/>
      <c r="L95" s="1"/>
      <c r="M95" s="1"/>
      <c r="N95" s="1"/>
      <c r="O95" s="1"/>
      <c r="P95" s="11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14"/>
      <c r="B96" s="149"/>
      <c r="C96" s="150"/>
      <c r="D96" s="3"/>
      <c r="E96" s="88"/>
      <c r="F96" s="148">
        <f t="shared" si="19"/>
        <v>0</v>
      </c>
      <c r="G96" s="1"/>
      <c r="H96" s="1"/>
      <c r="I96" s="1"/>
      <c r="J96" s="1"/>
      <c r="K96" s="1"/>
      <c r="L96" s="1"/>
      <c r="M96" s="1"/>
      <c r="N96" s="1"/>
      <c r="O96" s="1"/>
      <c r="P96" s="11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14"/>
      <c r="B97" s="149"/>
      <c r="C97" s="150"/>
      <c r="D97" s="3"/>
      <c r="E97" s="88"/>
      <c r="F97" s="148">
        <f t="shared" si="19"/>
        <v>0</v>
      </c>
      <c r="G97" s="1"/>
      <c r="H97" s="1"/>
      <c r="I97" s="1"/>
      <c r="J97" s="1"/>
      <c r="K97" s="1"/>
      <c r="L97" s="1"/>
      <c r="M97" s="1"/>
      <c r="N97" s="1"/>
      <c r="O97" s="1"/>
      <c r="P97" s="11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14"/>
      <c r="B98" s="149"/>
      <c r="C98" s="150"/>
      <c r="D98" s="3"/>
      <c r="E98" s="88"/>
      <c r="F98" s="148">
        <f t="shared" si="19"/>
        <v>0</v>
      </c>
      <c r="G98" s="1"/>
      <c r="H98" s="1"/>
      <c r="I98" s="1"/>
      <c r="J98" s="1"/>
      <c r="K98" s="1"/>
      <c r="L98" s="1"/>
      <c r="M98" s="1"/>
      <c r="N98" s="1"/>
      <c r="O98" s="1"/>
      <c r="P98" s="11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14"/>
      <c r="B99" s="151"/>
      <c r="C99" s="152"/>
      <c r="D99" s="55"/>
      <c r="E99" s="153"/>
      <c r="F99" s="154">
        <f t="shared" si="19"/>
        <v>0</v>
      </c>
      <c r="G99" s="1"/>
      <c r="H99" s="1"/>
      <c r="I99" s="1"/>
      <c r="J99" s="1"/>
      <c r="K99" s="1"/>
      <c r="L99" s="1"/>
      <c r="M99" s="1"/>
      <c r="N99" s="1"/>
      <c r="O99" s="1"/>
      <c r="P99" s="11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14"/>
      <c r="F100" s="155">
        <f>SUM(F94:F99)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1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14"/>
      <c r="B101" s="1"/>
      <c r="C101" s="1"/>
      <c r="D101" s="1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1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6.75" customHeight="1">
      <c r="A102" s="114"/>
      <c r="B102" s="115"/>
      <c r="C102" s="115"/>
      <c r="D102" s="115"/>
      <c r="E102" s="116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1">
    <mergeCell ref="B1:O1"/>
    <mergeCell ref="G3:J3"/>
    <mergeCell ref="E5:F6"/>
    <mergeCell ref="H5:K5"/>
    <mergeCell ref="H6:J6"/>
    <mergeCell ref="G10:H10"/>
    <mergeCell ref="G33:H33"/>
    <mergeCell ref="B33:D33"/>
    <mergeCell ref="B34:D34"/>
    <mergeCell ref="B36:E36"/>
    <mergeCell ref="G36:H36"/>
    <mergeCell ref="B37:E37"/>
    <mergeCell ref="K37:L37"/>
    <mergeCell ref="B38:E38"/>
    <mergeCell ref="B41:E41"/>
    <mergeCell ref="B42:E42"/>
    <mergeCell ref="G42:H42"/>
    <mergeCell ref="K42:M42"/>
    <mergeCell ref="K43:M43"/>
    <mergeCell ref="B39:E39"/>
    <mergeCell ref="G39:H39"/>
    <mergeCell ref="B40:E40"/>
    <mergeCell ref="G40:H40"/>
    <mergeCell ref="K40:M40"/>
    <mergeCell ref="G41:H41"/>
    <mergeCell ref="K41:M41"/>
    <mergeCell ref="G37:H37"/>
    <mergeCell ref="G38:H38"/>
    <mergeCell ref="G43:H43"/>
    <mergeCell ref="G58:H58"/>
    <mergeCell ref="B81:D81"/>
    <mergeCell ref="G81:H81"/>
    <mergeCell ref="B82:D82"/>
    <mergeCell ref="B84:E84"/>
    <mergeCell ref="G84:H84"/>
    <mergeCell ref="B85:E85"/>
    <mergeCell ref="G85:H85"/>
    <mergeCell ref="B86:E86"/>
    <mergeCell ref="G86:H86"/>
    <mergeCell ref="G87:H87"/>
    <mergeCell ref="K89:M89"/>
    <mergeCell ref="K90:M90"/>
    <mergeCell ref="K91:M91"/>
    <mergeCell ref="B87:E87"/>
    <mergeCell ref="B88:E88"/>
    <mergeCell ref="G88:H88"/>
    <mergeCell ref="B89:E89"/>
    <mergeCell ref="G89:H89"/>
    <mergeCell ref="B90:E90"/>
    <mergeCell ref="G90:H90"/>
    <mergeCell ref="G91:H91"/>
  </mergeCells>
  <conditionalFormatting sqref="O30:O33 J13:O29 J30:N32">
    <cfRule type="cellIs" dxfId="0" priority="1" operator="between">
      <formula>0.01</formula>
      <formula>100</formula>
    </cfRule>
  </conditionalFormatting>
  <conditionalFormatting sqref="F33:I33 L33:N33 J81:K81">
    <cfRule type="cellIs" dxfId="1" priority="2" operator="between">
      <formula>0.01</formula>
      <formula>400</formula>
    </cfRule>
  </conditionalFormatting>
  <conditionalFormatting sqref="J78:J80 M61:N80">
    <cfRule type="cellIs" dxfId="0" priority="3" operator="between">
      <formula>0.01</formula>
      <formula>100</formula>
    </cfRule>
  </conditionalFormatting>
  <conditionalFormatting sqref="F81:I81 L81:N81">
    <cfRule type="cellIs" dxfId="1" priority="4" operator="between">
      <formula>0.01</formula>
      <formula>400</formula>
    </cfRule>
  </conditionalFormatting>
  <conditionalFormatting sqref="O61:O81">
    <cfRule type="cellIs" dxfId="0" priority="5" operator="between">
      <formula>0.01</formula>
      <formula>100</formula>
    </cfRule>
  </conditionalFormatting>
  <conditionalFormatting sqref="J33:K33">
    <cfRule type="cellIs" dxfId="0" priority="6" operator="between">
      <formula>0.01</formula>
      <formula>1000</formula>
    </cfRule>
  </conditionalFormatting>
  <conditionalFormatting sqref="B13:B32">
    <cfRule type="cellIs" dxfId="1" priority="7" operator="greaterThan">
      <formula>0</formula>
    </cfRule>
  </conditionalFormatting>
  <conditionalFormatting sqref="B61:B80">
    <cfRule type="cellIs" dxfId="1" priority="8" operator="greaterThan">
      <formula>0</formula>
    </cfRule>
  </conditionalFormatting>
  <conditionalFormatting sqref="H6:K6 H5">
    <cfRule type="expression" dxfId="2" priority="9">
      <formula>$G$6</formula>
    </cfRule>
  </conditionalFormatting>
  <conditionalFormatting sqref="J61:J77">
    <cfRule type="cellIs" dxfId="0" priority="10" operator="between">
      <formula>0.01</formula>
      <formula>100</formula>
    </cfRule>
  </conditionalFormatting>
  <conditionalFormatting sqref="K61:K80">
    <cfRule type="cellIs" dxfId="0" priority="11" operator="between">
      <formula>0.01</formula>
      <formula>100</formula>
    </cfRule>
  </conditionalFormatting>
  <conditionalFormatting sqref="F94:F99">
    <cfRule type="cellIs" dxfId="1" priority="12" operator="greaterThan">
      <formula>0</formula>
    </cfRule>
  </conditionalFormatting>
  <conditionalFormatting sqref="F46:F51">
    <cfRule type="cellIs" dxfId="1" priority="13" operator="greaterThan">
      <formula>0</formula>
    </cfRule>
  </conditionalFormatting>
  <conditionalFormatting sqref="L61">
    <cfRule type="cellIs" dxfId="0" priority="14" operator="between">
      <formula>0.01</formula>
      <formula>100</formula>
    </cfRule>
  </conditionalFormatting>
  <conditionalFormatting sqref="L62:L80">
    <cfRule type="cellIs" dxfId="0" priority="15" operator="between">
      <formula>0.01</formula>
      <formula>100</formula>
    </cfRule>
  </conditionalFormatting>
  <printOptions horizontalCentered="1" verticalCentered="1"/>
  <pageMargins bottom="0.7480314960629921" footer="0.0" header="0.0" left="0.31496062992125984" right="0.31496062992125984" top="0.7480314960629921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2014-04-23T16:00:29Z</dcterms:created>
  <dc:creator>Eric</dc:creator>
</cp:coreProperties>
</file>